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QzQ3fx16FjEqY9JkWCwINPQPlaZ6a0rNHEOOwhqrNwGZ59u/z749p/0vZodUzHmubSgtDzqPkdZvxx1xvGWO2g==" workbookSaltValue="tfomGeR82dKjE4OiOgD/s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E16" i="13" s="1"/>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AV18" i="21" s="1"/>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ER19" i="8"/>
  <c r="AE13" i="21"/>
  <c r="EL19" i="8"/>
  <c r="EQ19" i="8"/>
  <c r="EN19" i="8"/>
  <c r="E15" i="3"/>
  <c r="BA13" i="16"/>
  <c r="E17" i="3"/>
  <c r="F16" i="10"/>
  <c r="ES19" i="8"/>
  <c r="W19" i="8"/>
  <c r="R8" i="9"/>
  <c r="BH9" i="16" s="1"/>
  <c r="EP19" i="8"/>
  <c r="EP19" i="19"/>
  <c r="BJ17" i="11"/>
  <c r="BL17" i="11"/>
  <c r="S13" i="16"/>
  <c r="P13" i="16"/>
  <c r="W13" i="20"/>
  <c r="H13" i="12"/>
  <c r="AZ17" i="11"/>
  <c r="BJ11" i="11"/>
  <c r="BL11" i="11"/>
  <c r="T15" i="16"/>
  <c r="BV16" i="16"/>
  <c r="BU9" i="17"/>
  <c r="BV9" i="16"/>
  <c r="T13" i="16"/>
  <c r="AZ12" i="11"/>
  <c r="Q17" i="17"/>
  <c r="BJ10" i="11"/>
  <c r="T11" i="11"/>
  <c r="BL16" i="11"/>
  <c r="L12" i="2"/>
  <c r="AP13" i="16"/>
  <c r="F11" i="11"/>
  <c r="AQ11" i="11" s="1"/>
  <c r="T18" i="17"/>
  <c r="BF15" i="13"/>
  <c r="BF16" i="13"/>
  <c r="Z20" i="20"/>
  <c r="G18" i="14"/>
  <c r="AK20" i="20"/>
  <c r="T20" i="20"/>
  <c r="O16" i="11"/>
  <c r="H20" i="20"/>
  <c r="AJ19" i="8" l="1"/>
  <c r="BF17" i="8"/>
  <c r="AL19" i="8"/>
  <c r="BM18" i="16"/>
  <c r="G18" i="12"/>
  <c r="L19" i="8"/>
  <c r="E18" i="12"/>
  <c r="C18" i="7"/>
  <c r="I19" i="8"/>
  <c r="E10" i="6"/>
  <c r="I10" i="3"/>
  <c r="E10" i="3"/>
  <c r="BD9" i="8"/>
  <c r="AG19" i="8"/>
  <c r="AE13" i="17"/>
  <c r="F13" i="7"/>
  <c r="B13" i="7"/>
  <c r="B12" i="6"/>
  <c r="AO12" i="11"/>
  <c r="AY13" i="8"/>
  <c r="BD12" i="8"/>
  <c r="BE12" i="8"/>
  <c r="L11" i="14"/>
  <c r="BE12" i="21"/>
  <c r="BE15" i="13"/>
  <c r="AQ12" i="21"/>
  <c r="BH11" i="11"/>
  <c r="BI9" i="11"/>
  <c r="T16" i="11"/>
  <c r="BU17" i="17"/>
  <c r="BV15" i="16"/>
  <c r="BW9" i="20"/>
  <c r="BM15" i="11"/>
  <c r="BI17" i="11"/>
  <c r="Q10" i="21"/>
  <c r="BK15" i="11"/>
  <c r="BF10" i="11"/>
  <c r="BH15" i="16"/>
  <c r="X12" i="21"/>
  <c r="T9" i="11"/>
  <c r="BF11" i="11"/>
  <c r="BH11" i="16"/>
  <c r="BL9" i="11"/>
  <c r="BH17" i="16"/>
  <c r="BG10" i="11"/>
  <c r="BM16" i="11"/>
  <c r="P17" i="17"/>
  <c r="BF17" i="11"/>
  <c r="BF16" i="11"/>
  <c r="S17" i="16"/>
  <c r="BL12" i="11"/>
  <c r="V12" i="21"/>
  <c r="V17" i="16"/>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P15" i="17"/>
  <c r="BF12" i="11"/>
  <c r="BL15" i="11"/>
  <c r="BL10" i="11"/>
  <c r="BH10" i="16"/>
  <c r="Q15" i="17"/>
  <c r="BM17" i="11"/>
  <c r="BF15" i="11"/>
  <c r="S17" i="17"/>
  <c r="BM9" i="11"/>
  <c r="BH12" i="16"/>
  <c r="BK10" i="11"/>
  <c r="L10" i="2"/>
  <c r="S15" i="17"/>
  <c r="X15" i="16"/>
  <c r="X18" i="16" s="1"/>
  <c r="V10" i="16"/>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U9" i="17"/>
  <c r="U19" i="17" s="1"/>
  <c r="BJ16" i="11"/>
  <c r="BH16" i="11"/>
  <c r="BG16" i="11"/>
  <c r="BK16" i="11"/>
  <c r="AQ10" i="21"/>
  <c r="BH10" i="11"/>
  <c r="BG12" i="11"/>
  <c r="T15" i="11"/>
  <c r="BU16" i="17"/>
  <c r="BV10" i="16"/>
  <c r="BW15" i="20"/>
  <c r="BW16" i="20"/>
  <c r="BW17" i="20"/>
  <c r="BU15" i="17"/>
  <c r="T17" i="16"/>
  <c r="BH17" i="11"/>
  <c r="BG9" i="11"/>
  <c r="R10" i="21"/>
  <c r="R13" i="21" s="1"/>
  <c r="V9" i="11"/>
  <c r="BI10" i="11"/>
  <c r="X9" i="17"/>
  <c r="X11" i="17"/>
  <c r="BK9" i="11"/>
  <c r="BK12" i="11"/>
  <c r="Q17" i="20"/>
  <c r="Q18" i="20" s="1"/>
  <c r="BH15" i="11"/>
  <c r="V15" i="11"/>
  <c r="AP16" i="20"/>
  <c r="X13" i="20"/>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I11" i="7" s="1"/>
  <c r="BG12" i="8"/>
  <c r="BE15" i="8"/>
  <c r="BD16" i="8"/>
  <c r="AO17" i="17"/>
  <c r="AC19" i="17"/>
  <c r="BN18" i="16"/>
  <c r="BN19" i="16" s="1"/>
  <c r="F11" i="16"/>
  <c r="AH13" i="16"/>
  <c r="M13" i="2"/>
  <c r="AZ13" i="11"/>
  <c r="AP15" i="11"/>
  <c r="AP11" i="11"/>
  <c r="H12" i="7"/>
  <c r="H12" i="2"/>
  <c r="J9" i="2"/>
  <c r="K12" i="7"/>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I12" i="12" s="1"/>
  <c r="C10" i="6"/>
  <c r="W13" i="17"/>
  <c r="X13" i="17" s="1"/>
  <c r="F15" i="17"/>
  <c r="AQ15" i="17" s="1"/>
  <c r="AT18" i="17"/>
  <c r="AF13" i="21"/>
  <c r="AF19" i="21" s="1"/>
  <c r="F12" i="21"/>
  <c r="AO13" i="21"/>
  <c r="N13" i="2"/>
  <c r="C10" i="14"/>
  <c r="K10" i="14" s="1"/>
  <c r="F9" i="12"/>
  <c r="G9" i="12"/>
  <c r="E9" i="12"/>
  <c r="D9" i="12"/>
  <c r="AP10"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U16" i="11"/>
  <c r="AX20" i="20"/>
  <c r="Y20" i="20"/>
  <c r="O10" i="11"/>
  <c r="AM20" i="20"/>
  <c r="Q20" i="20"/>
  <c r="AB20" i="20"/>
  <c r="AI20" i="20"/>
  <c r="AZ20" i="20"/>
  <c r="AV20" i="20"/>
  <c r="AU20" i="20"/>
  <c r="M20" i="20"/>
  <c r="AQ20" i="21"/>
  <c r="AP20" i="20"/>
  <c r="AH20" i="20"/>
  <c r="N20" i="20"/>
  <c r="AD20" i="20"/>
  <c r="AE20" i="20"/>
  <c r="AG20" i="20"/>
  <c r="I20" i="20"/>
  <c r="T20" i="21"/>
  <c r="AB21" i="21" l="1"/>
  <c r="BF18" i="13"/>
  <c r="BJ18" i="11"/>
  <c r="I11" i="12"/>
  <c r="S18" i="16"/>
  <c r="Q9" i="11"/>
  <c r="R19" i="2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E20" i="17"/>
  <c r="AD20" i="17"/>
  <c r="L20" i="11"/>
  <c r="X20"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N20" i="11"/>
  <c r="U20" i="16"/>
  <c r="BA20" i="16"/>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<sst xmlns="http://schemas.openxmlformats.org/spreadsheetml/2006/main" count="2094" uniqueCount="914">
  <si>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</si>
  <si>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</si>
  <si>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</si>
  <si>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</si>
  <si>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</si>
  <si>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</si>
  <si>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</si>
  <si>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</si>
  <si>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</si>
  <si>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</si>
  <si>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</si>
  <si>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</si>
  <si>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</si>
  <si>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</si>
  <si>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</si>
  <si>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</si>
  <si>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</si>
  <si>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</si>
  <si>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</si>
  <si>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</si>
  <si>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</si>
  <si>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</si>
  <si>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</si>
  <si>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</si>
  <si>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</si>
  <si>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</si>
  <si>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</si>
  <si>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</si>
  <si>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</si>
  <si>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</si>
  <si>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</si>
  <si>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</si>
  <si>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</si>
  <si>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</si>
  <si>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</si>
  <si>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</si>
  <si>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</si>
  <si>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</si>
  <si>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</si>
  <si>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</si>
  <si>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</si>
  <si>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</si>
  <si>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</si>
  <si>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</si>
  <si>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</si>
  <si>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</si>
  <si>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</si>
  <si>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</si>
  <si>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</si>
  <si>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</si>
  <si>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</si>
  <si>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</si>
  <si>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</si>
  <si>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</si>
  <si>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</si>
  <si>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</si>
  <si>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</si>
  <si>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</si>
  <si>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</si>
  <si>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</si>
  <si>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</si>
  <si>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</si>
  <si>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</si>
  <si>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</si>
  <si>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</si>
  <si>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</si>
  <si>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</si>
  <si>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</si>
  <si>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</si>
  <si>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</si>
  <si>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</si>
  <si>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</si>
  <si>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</si>
  <si>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</si>
  <si>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</si>
  <si>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</si>
  <si>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</si>
  <si>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</si>
  <si>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</si>
  <si>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</si>
  <si>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</si>
  <si>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</si>
  <si>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</si>
  <si>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</si>
  <si>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</si>
  <si>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</si>
  <si>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</si>
  <si>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</si>
  <si>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</si>
  <si>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</si>
  <si>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</si>
  <si>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</si>
  <si>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</si>
  <si>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</si>
  <si>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</si>
  <si>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</si>
  <si>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</si>
  <si>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</si>
  <si>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</si>
  <si>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</si>
  <si>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</si>
  <si>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</si>
  <si>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</si>
  <si>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</si>
  <si>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</si>
  <si>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</si>
  <si>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</si>
  <si>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</si>
  <si>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</si>
  <si>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</si>
  <si>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</si>
  <si>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</si>
  <si>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</si>
  <si>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</si>
  <si>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</si>
  <si>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</si>
  <si>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</si>
  <si>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</si>
  <si>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</si>
  <si>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</si>
  <si>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</si>
  <si>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</si>
  <si>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</si>
  <si>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</si>
  <si>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</si>
  <si>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</si>
  <si>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</si>
  <si>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</si>
  <si>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</si>
  <si>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</si>
  <si>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</si>
  <si>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</si>
  <si>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</si>
  <si>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</si>
  <si>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</si>
  <si>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</si>
  <si>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</si>
  <si>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</si>
  <si>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</si>
  <si>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</si>
  <si>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</si>
  <si>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</si>
  <si>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</si>
  <si>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</si>
  <si>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</si>
  <si>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</si>
  <si>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</si>
  <si>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</si>
  <si>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</si>
  <si>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</si>
  <si>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</si>
  <si>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</si>
  <si>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</si>
  <si>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</si>
  <si>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</si>
  <si>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</si>
  <si>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</si>
  <si>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</si>
  <si>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</si>
  <si>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</si>
  <si>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</si>
  <si>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</si>
  <si>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</si>
  <si>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</si>
  <si>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</si>
  <si>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</si>
  <si>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</si>
  <si>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</si>
  <si>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</si>
  <si>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</si>
  <si>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</si>
  <si>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</si>
  <si>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</si>
  <si>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</si>
  <si>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</si>
  <si>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</si>
  <si>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</si>
  <si>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</si>
  <si>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</si>
  <si>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</si>
  <si>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</si>
  <si>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</si>
  <si>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</si>
  <si>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</si>
  <si>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</si>
  <si>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</si>
  <si>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</si>
  <si>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</si>
  <si>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</si>
  <si>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</si>
  <si>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</si>
  <si>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</si>
  <si>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</si>
  <si>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</si>
  <si>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</si>
  <si>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</si>
  <si>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</si>
  <si>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</si>
  <si>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</si>
  <si>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</si>
  <si>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</si>
  <si>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</si>
  <si>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</si>
  <si>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</si>
  <si>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</si>
  <si>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</si>
  <si>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</si>
  <si>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</si>
  <si>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</si>
  <si>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</si>
  <si>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</si>
  <si>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</si>
  <si>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</si>
  <si>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</si>
  <si>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</si>
  <si>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</si>
  <si>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</si>
  <si>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</si>
  <si>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</si>
  <si>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</si>
  <si>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</si>
  <si>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</si>
  <si>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</si>
  <si>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</si>
  <si>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</si>
  <si>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</si>
  <si>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</si>
  <si>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</si>
  <si>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</si>
  <si>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</si>
  <si>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</si>
  <si>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</si>
  <si>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</si>
  <si>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</si>
  <si>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</si>
  <si>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</si>
  <si>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</si>
  <si>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</si>
  <si>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</si>
  <si>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</si>
  <si>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</si>
  <si>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</si>
  <si>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</si>
  <si>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</si>
  <si>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</si>
  <si>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</si>
  <si>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</si>
  <si>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</si>
  <si>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</si>
  <si>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</si>
  <si>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</si>
  <si>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</si>
  <si>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</si>
  <si>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</si>
  <si>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</si>
  <si>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</si>
  <si>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</si>
  <si>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</si>
  <si>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</si>
  <si>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</si>
  <si>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</si>
  <si>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</si>
  <si>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</si>
  <si>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</si>
  <si>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</si>
  <si>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</si>
  <si>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</si>
  <si>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</si>
  <si>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</si>
  <si>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</si>
  <si>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</si>
  <si>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</si>
  <si>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</si>
  <si>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</si>
  <si>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</si>
  <si>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</si>
  <si>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</si>
  <si>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</si>
  <si>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</si>
  <si>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</si>
  <si>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</si>
  <si>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</si>
  <si>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</si>
  <si>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</si>
  <si>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</si>
  <si>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</si>
  <si>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</si>
  <si>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</si>
  <si>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</si>
  <si>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</si>
  <si>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</si>
  <si>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</si>
  <si>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</si>
  <si>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</si>
  <si>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</si>
  <si>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</si>
  <si>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</si>
  <si>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</si>
  <si>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</si>
  <si>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</si>
  <si>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</si>
  <si>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</si>
  <si>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</si>
  <si>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</si>
  <si>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</si>
  <si>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</si>
  <si>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</si>
  <si>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</si>
  <si>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</si>
  <si>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</si>
  <si>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</si>
  <si>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</si>
  <si>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</si>
  <si>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</si>
  <si>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</si>
  <si>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</si>
  <si>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</si>
  <si>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</si>
  <si>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</si>
  <si>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</si>
  <si>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</si>
  <si>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</si>
  <si>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</si>
  <si>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</si>
  <si>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</si>
  <si>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</si>
  <si>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</si>
  <si>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</si>
  <si>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</si>
  <si>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</si>
  <si>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</si>
  <si>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</si>
  <si>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</si>
  <si>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</si>
  <si>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</si>
  <si>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</si>
  <si>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</si>
  <si>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</si>
  <si>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</si>
  <si>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</si>
  <si>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</si>
  <si>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</si>
  <si>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</si>
  <si>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</si>
  <si>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</si>
  <si>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</si>
  <si>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</si>
  <si>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</si>
  <si>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</si>
  <si>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</si>
  <si>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</si>
  <si>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</si>
  <si>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</si>
  <si>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</si>
  <si>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</si>
  <si>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</si>
  <si>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</si>
  <si>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</si>
  <si>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</si>
  <si>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</si>
  <si>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</si>
  <si>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</si>
  <si>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</si>
  <si>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</si>
  <si>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</si>
  <si>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</si>
  <si>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</si>
  <si>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</si>
  <si>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</si>
  <si>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</si>
  <si>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</si>
  <si>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</si>
  <si>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</si>
  <si>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</si>
  <si>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</si>
  <si>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</si>
  <si>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</si>
  <si>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</si>
  <si>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</si>
  <si>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</si>
  <si>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</si>
  <si>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</si>
  <si>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</si>
  <si>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</si>
  <si>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</si>
  <si>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</si>
  <si>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</si>
  <si>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</si>
  <si>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</si>
  <si>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</si>
  <si>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</si>
  <si>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</si>
  <si>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</si>
  <si>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</si>
  <si>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</si>
  <si>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</si>
  <si>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</si>
  <si>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</si>
  <si>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</si>
  <si>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</si>
  <si>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</si>
  <si>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</si>
  <si>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</si>
  <si>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</si>
  <si>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</si>
  <si>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</si>
  <si>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</si>
  <si>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</si>
  <si>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</si>
  <si>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</si>
  <si>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</si>
  <si>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</si>
  <si>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</si>
  <si>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</si>
  <si>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</si>
  <si>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</si>
  <si>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</si>
  <si>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</si>
  <si>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</si>
  <si>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</si>
  <si>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</si>
  <si>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</si>
  <si>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</si>
  <si>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</si>
  <si>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</si>
  <si>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</si>
  <si>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</si>
  <si>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</si>
  <si>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</si>
  <si>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</si>
  <si>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</si>
  <si>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</si>
  <si>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</si>
  <si>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</si>
  <si>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</si>
  <si>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</si>
  <si>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</si>
  <si>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</si>
  <si>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</si>
  <si>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</si>
  <si>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</si>
  <si>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</si>
  <si>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</si>
  <si>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</si>
  <si>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</si>
  <si>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</si>
  <si>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</si>
  <si>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</si>
  <si>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</si>
  <si>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</si>
  <si>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</si>
  <si>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</si>
  <si>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</si>
  <si>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</si>
  <si>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</si>
  <si>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</si>
  <si>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</si>
  <si>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</si>
  <si>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</si>
  <si>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</si>
  <si>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</si>
  <si>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</si>
  <si>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</si>
  <si>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</si>
  <si>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</si>
  <si>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</si>
  <si>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</si>
  <si>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</si>
  <si>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</si>
  <si>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</si>
  <si>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</si>
  <si>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</si>
  <si>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</si>
  <si>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</si>
  <si>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</si>
  <si>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</si>
  <si>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</si>
  <si>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</si>
  <si>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</si>
  <si>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</si>
  <si>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</si>
  <si>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</si>
  <si>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</si>
  <si>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</si>
  <si>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</si>
  <si>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</si>
  <si>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</si>
  <si>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</si>
  <si>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</si>
  <si>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</si>
  <si>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</si>
  <si>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</si>
  <si>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</si>
  <si>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</si>
  <si>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</si>
  <si>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</si>
  <si>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</si>
  <si>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</si>
  <si>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</si>
  <si>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</si>
  <si>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</si>
  <si>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</si>
  <si>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</si>
  <si>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</si>
  <si>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</si>
  <si>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</si>
  <si>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</si>
  <si>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</si>
  <si>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</si>
  <si>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</si>
  <si>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</si>
  <si>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</si>
  <si>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</si>
  <si>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</si>
  <si>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</si>
  <si>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</si>
  <si>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</si>
  <si>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</si>
  <si>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</si>
  <si>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</si>
  <si>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</si>
  <si>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</si>
  <si>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</si>
  <si>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</si>
  <si>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</si>
  <si>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</si>
  <si>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</si>
  <si>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</si>
  <si>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</si>
  <si>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</si>
  <si>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</si>
  <si>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</si>
  <si>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</si>
  <si>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</si>
  <si>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</si>
  <si>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</si>
  <si>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</si>
  <si>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</si>
  <si>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</si>
  <si>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</si>
  <si>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</si>
  <si>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</si>
  <si>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</si>
  <si>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</si>
  <si>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</si>
  <si>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</si>
  <si>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</si>
  <si>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</si>
  <si>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</si>
  <si>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</si>
  <si>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</si>
  <si>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</si>
  <si>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</si>
  <si>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</si>
  <si>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</si>
  <si>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</si>
  <si>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</si>
  <si>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</si>
  <si>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</si>
  <si>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</si>
  <si>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</si>
  <si>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</si>
  <si>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</si>
  <si>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</si>
  <si>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</si>
  <si>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</si>
  <si>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</si>
  <si>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</si>
  <si>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</si>
  <si>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</si>
  <si>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</si>
  <si>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</si>
  <si>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</si>
  <si>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</si>
  <si>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</si>
  <si>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</si>
  <si>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</si>
  <si>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</si>
  <si>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</si>
  <si>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</si>
  <si>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</si>
  <si>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</si>
  <si>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</si>
  <si>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</si>
  <si>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</si>
  <si>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</si>
  <si>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</si>
  <si>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</si>
  <si>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</si>
  <si>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</si>
  <si>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</si>
  <si>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</si>
  <si>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</si>
  <si>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</si>
  <si>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</si>
  <si>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</si>
  <si>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</si>
  <si>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</si>
  <si>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</si>
  <si>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</si>
  <si>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</si>
  <si>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</si>
  <si>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</si>
  <si>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</si>
  <si>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</si>
  <si>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</si>
  <si>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</si>
  <si>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</si>
  <si>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</si>
  <si>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</si>
  <si>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</si>
  <si>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</si>
  <si>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</si>
  <si>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</si>
  <si>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</si>
  <si>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</si>
  <si>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</si>
  <si>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</si>
  <si>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</si>
  <si>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</si>
  <si>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</si>
  <si>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</si>
  <si>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</si>
  <si>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</si>
  <si>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</si>
  <si>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</si>
  <si>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</si>
  <si>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</si>
  <si>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</si>
  <si>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</si>
  <si>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</si>
  <si>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</si>
  <si>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</si>
  <si>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</si>
  <si>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</si>
  <si>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</si>
  <si>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</si>
  <si>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</si>
  <si>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</si>
  <si>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</si>
  <si>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</si>
  <si>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</si>
  <si>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</si>
  <si>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</si>
  <si>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</si>
  <si>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</si>
  <si>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</si>
  <si>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</si>
  <si>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</si>
  <si>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</si>
  <si>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</si>
  <si>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</si>
  <si>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</si>
  <si>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</si>
  <si>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</si>
  <si>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</si>
  <si>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</si>
  <si>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</si>
  <si>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</si>
  <si>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</si>
  <si>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</si>
  <si>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</si>
  <si>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</si>
  <si>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</si>
  <si>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</si>
  <si>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</si>
  <si>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</si>
  <si>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</si>
  <si>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</si>
  <si>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</si>
  <si>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</si>
  <si>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</si>
  <si>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</si>
  <si>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</si>
  <si>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</si>
  <si>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</si>
  <si>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</si>
  <si>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</si>
  <si>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</si>
  <si>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</si>
  <si>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</si>
  <si>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</si>
  <si>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</si>
  <si>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</si>
  <si>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</si>
  <si>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</si>
  <si>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</si>
  <si>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</si>
  <si>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</si>
  <si>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</si>
  <si>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</si>
  <si>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</si>
  <si>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</si>
  <si>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</si>
  <si>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</si>
  <si>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</si>
  <si>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</si>
  <si>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</si>
  <si>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</si>
  <si>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</si>
  <si>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</si>
  <si>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</si>
  <si>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</si>
  <si>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</si>
  <si>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</si>
  <si>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</si>
  <si>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</si>
  <si>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</si>
  <si>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</si>
  <si>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</si>
  <si>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</si>
  <si>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</si>
  <si>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</si>
  <si>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</si>
  <si>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</si>
  <si>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</si>
  <si>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</si>
  <si>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</si>
  <si>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</si>
  <si>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</si>
  <si>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</si>
  <si>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</si>
  <si>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</si>
  <si>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</si>
  <si>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</si>
  <si>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</si>
  <si>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</si>
  <si>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</si>
  <si>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</si>
  <si>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</si>
  <si>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</si>
  <si>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</si>
  <si>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</si>
  <si>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</si>
  <si>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</si>
  <si>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</si>
  <si>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</si>
  <si>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</si>
  <si>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</si>
  <si>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</si>
  <si>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</si>
  <si>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</si>
  <si>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</si>
  <si>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</si>
  <si>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</si>
  <si>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</si>
  <si>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</si>
  <si>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</si>
  <si>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</si>
  <si>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</si>
  <si>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</si>
  <si>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</si>
  <si>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</si>
  <si>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</si>
  <si>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</si>
  <si>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</si>
  <si>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</si>
  <si>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</si>
  <si>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</si>
  <si>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</si>
  <si>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</si>
  <si>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</si>
  <si>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</si>
  <si>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</si>
  <si>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</si>
  <si>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</si>
  <si>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</si>
  <si>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</si>
  <si>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</si>
  <si>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</si>
  <si>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</si>
  <si>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</si>
  <si>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</si>
  <si>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</si>
  <si>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</si>
  <si>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</si>
  <si>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</si>
  <si>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</si>
  <si>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</si>
  <si>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</si>
  <si>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</si>
  <si>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</si>
  <si>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</si>
  <si>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</si>
  <si>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</si>
  <si>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</si>
  <si>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</si>
  <si>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</si>
  <si>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</si>
  <si>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</si>
  <si>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</si>
  <si>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</si>
  <si>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</si>
  <si>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</si>
  <si>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</si>
  <si>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</si>
  <si>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</si>
  <si>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</si>
  <si>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</si>
  <si>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</si>
  <si>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</si>
  <si>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</si>
  <si>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</si>
  <si>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</si>
  <si>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</si>
  <si>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</si>
  <si>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</si>
  <si>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</si>
  <si>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</si>
  <si>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</si>
  <si>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</si>
  <si>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</si>
  <si>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</si>
  <si>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</si>
  <si>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</si>
  <si>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</si>
  <si>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</si>
  <si>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</si>
  <si>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</si>
  <si>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</si>
  <si>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</si>
  <si>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</si>
  <si>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</si>
  <si>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</si>
  <si>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</si>
  <si>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</si>
  <si>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</si>
  <si>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</si>
  <si>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</si>
  <si>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</si>
  <si>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</si>
  <si>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</si>
  <si>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</si>
  <si>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</si>
  <si>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</si>
  <si>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</si>
  <si>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</si>
  <si>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</si>
  <si>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</si>
  <si>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</si>
  <si>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</si>
  <si>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</si>
  <si>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</si>
  <si>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</si>
  <si>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</si>
  <si>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</si>
  <si>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</si>
  <si>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</si>
  <si>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</si>
  <si>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</si>
  <si>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</si>
  <si>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</si>
  <si>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</si>
  <si>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</si>
  <si>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</si>
  <si>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</si>
  <si>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</si>
  <si>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</si>
  <si>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</si>
  <si>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</si>
  <si>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</si>
  <si>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</si>
  <si>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</si>
  <si>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</si>
  <si>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</si>
  <si>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</si>
  <si>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</si>
  <si>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</si>
  <si>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</si>
  <si>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</si>
  <si>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</si>
  <si>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</si>
  <si>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</si>
  <si>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</si>
  <si>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</si>
  <si>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</si>
  <si>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</si>
  <si>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</si>
  <si>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</si>
  <si>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</si>
  <si>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</si>
  <si>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</si>
  <si>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</si>
  <si>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</si>
  <si>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</si>
  <si>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</si>
  <si>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</si>
  <si>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</si>
  <si>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</si>
  <si>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</si>
  <si>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</si>
  <si>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</si>
  <si>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</si>
  <si>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</si>
  <si>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</si>
  <si>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</si>
  <si>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</si>
  <si>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</si>
  <si>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</si>
  <si>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</si>
  <si>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</si>
  <si>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</si>
  <si>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</si>
  <si>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</si>
  <si>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</si>
  <si>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</si>
  <si>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</si>
  <si>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</si>
  <si>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</si>
  <si>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COMUNIDAD VALENCIANA</t>
  </si>
  <si>
    <t>Provincias</t>
  </si>
  <si>
    <t>VALENCIA</t>
  </si>
  <si>
    <t>Resumenes por Partidos Judiciales</t>
  </si>
  <si>
    <t>TORRENT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</si>
</sst>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pnY8Rlly2GgLpm1WtkYMCYNhauAJY3WkhOCQFu7IFuY027ZMkY6+/EJ3RpWr+wvUd+hYccB3bemwOYlJ2nXqhA==" saltValue="KAxc252ZYQtR1LK/bKHdA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COMUNIDAD VALENCIANA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6</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21.768140981340707</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106</v>
      </c>
      <c r="D10" s="225">
        <f>IF(ISNUMBER(Datos!I10),Datos!I10," - ")</f>
        <v>106</v>
      </c>
      <c r="E10" s="226">
        <f>IF(ISNUMBER(Datos!J10),Datos!J10," - ")</f>
        <v>101</v>
      </c>
      <c r="F10" s="226">
        <f>IF(ISNUMBER(Datos!K10),Datos!K10," - ")</f>
        <v>88</v>
      </c>
      <c r="G10" s="1034" t="str">
        <f>IF(Datos!E10&lt;&gt;"",Datos!E10,Datos!D10)</f>
        <v>37</v>
      </c>
      <c r="H10" s="227">
        <f>IF(ISNUMBER(Datos!L10),Datos!L10," - ")</f>
        <v>119</v>
      </c>
      <c r="I10" s="1044" t="str">
        <f>IF(ISNUMBER(Datos!AS10/Datos!BM10),Datos!AS10/Datos!BM10," - ")</f>
        <v xml:space="preserve"> - </v>
      </c>
      <c r="J10" s="1045">
        <f>IF(ISNUMBER(Datos!BY10/Datos!CN10),Datos!BY10/Datos!CN10," - ")</f>
        <v>0</v>
      </c>
      <c r="K10" s="230">
        <f t="shared" ref="K10:K12" si="1">IF(ISNUMBER((E10-F10)/C10),(E10-F10)/C10," - ")</f>
        <v>0.12264150943396226</v>
      </c>
      <c r="L10" s="1025">
        <f>IF(ISNUMBER(NºAsuntos!I10/NºAsuntos!G10),(NºAsuntos!I10/NºAsuntos!G10)*11," - ")</f>
        <v>14.875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106</v>
      </c>
      <c r="D13" s="1049">
        <f>SUBTOTAL(9,D9:D12)</f>
        <v>106</v>
      </c>
      <c r="E13" s="1050">
        <f>SUBTOTAL(9,E9:E12)</f>
        <v>101</v>
      </c>
      <c r="F13" s="1051">
        <f>SUBTOTAL(9,F9:F12)</f>
        <v>88</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3</v>
      </c>
      <c r="B15" s="502" t="str">
        <f>Datos!A15</f>
        <v xml:space="preserve">Jdos. Instrucción                               </v>
      </c>
      <c r="C15" s="225">
        <f t="shared" ref="C15:C17" si="2">IF(ISNUMBER(H15-E15+F15),H15-E15+F15," - ")</f>
        <v>2248</v>
      </c>
      <c r="D15" s="225">
        <f>IF(ISNUMBER(IF(D_I="SI",Datos!I15,Datos!I15+Datos!AC15)),IF(D_I="SI",Datos!I15,Datos!I15+Datos!AC15)," - ")</f>
        <v>2248</v>
      </c>
      <c r="E15" s="226">
        <f>IF(ISNUMBER(IF(D_I="SI",Datos!J15,Datos!J15+Datos!AD15)),IF(D_I="SI",Datos!J15,Datos!J15+Datos!AD15)," - ")</f>
        <v>2257</v>
      </c>
      <c r="F15" s="226">
        <f>IF(ISNUMBER(IF(D_I="SI",Datos!K15,Datos!K15+Datos!AE15)),IF(D_I="SI",Datos!K15,Datos!K15+Datos!AE15)," - ")</f>
        <v>2270</v>
      </c>
      <c r="G15" s="1034" t="str">
        <f>IF(Datos!E15&lt;&gt;"",Datos!E15,Datos!D15)</f>
        <v>03</v>
      </c>
      <c r="H15" s="227">
        <f>IF(ISNUMBER(IF(D_I="SI",Datos!L15,Datos!L15+Datos!AF15)),IF(D_I="SI",Datos!L15,Datos!L15+Datos!AF15)," - ")</f>
        <v>2235</v>
      </c>
      <c r="I15" s="1044" t="str">
        <f>IF(ISNUMBER(Datos!AS15/Datos!BM15),Datos!AS15/Datos!BM15," - ")</f>
        <v xml:space="preserve"> - </v>
      </c>
      <c r="J15" s="1045">
        <f>IF(ISNUMBER(Datos!BY15/Datos!CN15),Datos!BY15/Datos!CN15," - ")</f>
        <v>0</v>
      </c>
      <c r="K15" s="230">
        <f t="shared" ref="K15:K17" si="3">IF(ISNUMBER((E15-F15)/C15),(E15-F15)/C15," - ")</f>
        <v>-5.7829181494661918E-3</v>
      </c>
      <c r="L15" s="1025">
        <f>IF(ISNUMBER(NºAsuntos!I15/NºAsuntos!G15),(NºAsuntos!I15/NºAsuntos!G15)*11," - ")</f>
        <v>10.830396475770925</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401</v>
      </c>
      <c r="D17" s="225">
        <f>IF(ISNUMBER(IF(D_I="SI",Datos!I17,Datos!I17+Datos!AC17)),IF(D_I="SI",Datos!I17,Datos!I17+Datos!AC17)," - ")</f>
        <v>398</v>
      </c>
      <c r="E17" s="226">
        <f>IF(ISNUMBER(IF(D_I="SI",Datos!J17,Datos!J17+Datos!AD17)),IF(D_I="SI",Datos!J17,Datos!J17+Datos!AD17)," - ")</f>
        <v>373</v>
      </c>
      <c r="F17" s="226">
        <f>IF(ISNUMBER(IF(D_I="SI",Datos!K17,Datos!K17+Datos!AE17)),IF(D_I="SI",Datos!K17,Datos!K17+Datos!AE17)," - ")</f>
        <v>310</v>
      </c>
      <c r="G17" s="1034" t="str">
        <f>IF(Datos!E17&lt;&gt;"",Datos!E17,Datos!D17)</f>
        <v>37</v>
      </c>
      <c r="H17" s="227">
        <f>IF(ISNUMBER(IF(D_I="SI",Datos!L17,Datos!L17+Datos!AF17)),IF(D_I="SI",Datos!L17,Datos!L17+Datos!AF17)," - ")</f>
        <v>464</v>
      </c>
      <c r="I17" s="1044" t="str">
        <f>IF(ISNUMBER(Datos!AS17/Datos!BM17),Datos!AS17/Datos!BM17," - ")</f>
        <v xml:space="preserve"> - </v>
      </c>
      <c r="J17" s="1045" t="str">
        <f>IF(ISNUMBER((Datos!BY17+Datos!BZ17)/Datos!CN17),(Datos!BY17+Datos!BZ17)/Datos!CN17," - ")</f>
        <v xml:space="preserve"> - </v>
      </c>
      <c r="K17" s="230">
        <f t="shared" si="3"/>
        <v>0.15710723192019951</v>
      </c>
      <c r="L17" s="1025">
        <f>IF(ISNUMBER(NºAsuntos!I17/NºAsuntos!G17),(NºAsuntos!I17/NºAsuntos!G17)*11," - ")</f>
        <v>16.464516129032258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2649</v>
      </c>
      <c r="D18" s="1049">
        <f>SUBTOTAL(9,D15:D17)</f>
        <v>2646</v>
      </c>
      <c r="E18" s="1050">
        <f>SUBTOTAL(9,E15:E17)</f>
        <v>2630</v>
      </c>
      <c r="F18" s="1050">
        <f>SUBTOTAL(9,F15:F17)</f>
        <v>2580</v>
      </c>
      <c r="G18" s="1052" t="str">
        <f ca="1">INDIRECT(CONCATENATE("G",ROW()-1))</f>
        <v>37</v>
      </c>
      <c r="H18" s="1053">
        <f ca="1">SUMIF(G$14:G17,G18,H$14:H17)</f>
        <v>464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2755</v>
      </c>
      <c r="D19" s="1071">
        <f>SUBTOTAL(9,D9:D18)</f>
        <v>2752</v>
      </c>
      <c r="E19" s="1072">
        <f>SUBTOTAL(9,E9:E18)</f>
        <v>2731</v>
      </c>
      <c r="F19" s="1072">
        <f>SUBTOTAL(9,F9:F18)</f>
        <v>2668</v>
      </c>
      <c r="G19" s="1073"/>
      <c r="H19" s="1074">
        <f ca="1">SUMIF(B9:B18,"TOTAL",H9:H18)</f>
        <v>464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hi4xK2BZ7DamuW/wkgYdqz0Bf/0fqIvNMMnj+KJO8BX8TfyDqkNEXj81U5WlQasMC+YYJup56kakICeum4dsPA==" saltValue="Jismn6KGcXLfF3zPDcWQw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NJJxKjMBR8rM+iHeJ0YqRk9QbjLYumiqEH0/maQE3jAXKnJRsFNnZP1T9NL9xwn95lUsVFFA6x8qdl3Q+3KDgA==" saltValue="km8gnuiHwOFJcSIO9Nnsy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v>4945</v>
      </c>
      <c r="J9" s="181">
        <v>3168</v>
      </c>
      <c r="K9" s="181">
        <v>2640</v>
      </c>
      <c r="L9" s="181">
        <v>5473</v>
      </c>
      <c r="M9" s="181">
        <v>630</v>
      </c>
      <c r="N9" s="181">
        <v>1238</v>
      </c>
      <c r="O9" s="181">
        <v>1506</v>
      </c>
      <c r="P9" s="181">
        <v>726</v>
      </c>
      <c r="Q9" s="181">
        <v>638</v>
      </c>
      <c r="R9" s="181">
        <v>9865</v>
      </c>
      <c r="S9" s="181">
        <v>4340</v>
      </c>
      <c r="T9" s="181">
        <v>2140</v>
      </c>
      <c r="U9" s="181">
        <v>2451</v>
      </c>
      <c r="V9" s="181">
        <v>4029</v>
      </c>
      <c r="W9" s="181">
        <v>546</v>
      </c>
      <c r="X9" s="188">
        <v>1132</v>
      </c>
      <c r="Y9" s="191">
        <v>272</v>
      </c>
      <c r="Z9" s="181">
        <v>236</v>
      </c>
      <c r="AA9" s="181">
        <v>254</v>
      </c>
      <c r="AB9" s="181">
        <v>254</v>
      </c>
      <c r="AC9" s="181">
        <v>0</v>
      </c>
      <c r="AD9" s="181">
        <v>0</v>
      </c>
      <c r="AE9" s="181">
        <v>0</v>
      </c>
      <c r="AF9" s="188">
        <v>0</v>
      </c>
      <c r="AG9" s="191">
        <v>325</v>
      </c>
      <c r="AH9" s="181">
        <v>279</v>
      </c>
      <c r="AI9" s="181">
        <v>283</v>
      </c>
      <c r="AJ9" s="192">
        <v>321</v>
      </c>
      <c r="AK9" s="180">
        <v>0</v>
      </c>
      <c r="AL9" s="181">
        <v>0</v>
      </c>
      <c r="AM9" s="181">
        <v>0</v>
      </c>
      <c r="AN9" s="188">
        <v>0</v>
      </c>
      <c r="AO9" s="258">
        <v>6</v>
      </c>
      <c r="AP9" s="154">
        <v>6</v>
      </c>
      <c r="AQ9" s="154">
        <v>6</v>
      </c>
      <c r="AR9" s="193">
        <v>6</v>
      </c>
      <c r="AS9" s="338" t="s">
        <v>799</v>
      </c>
      <c r="AT9" s="195"/>
      <c r="AU9" s="194"/>
      <c r="AV9" s="195"/>
      <c r="AW9" s="194"/>
      <c r="AX9" s="195"/>
      <c r="AY9" s="123">
        <f>IF(ISNUMBER(IF(J_V="SI",S9,S9+AG9)),IF(J_V="SI",S9,S9+AG9)," - ")</f>
        <v>4665</v>
      </c>
      <c r="AZ9" s="123">
        <f>IF(ISNUMBER(IF(J_V="SI",T9,T9+AH9)),IF(J_V="SI",T9,T9+AH9)," - ")</f>
        <v>2419</v>
      </c>
      <c r="BA9" s="124">
        <f>IF(ISNUMBER(IF(J_V="SI",U9,U9+AI9)),IF(J_V="SI",U9,U9+AI9)," - ")</f>
        <v>2734</v>
      </c>
      <c r="BB9" s="124">
        <f>IF(ISNUMBER(IF(J_V="SI",V9,V9+AJ9)),IF(J_V="SI",V9,V9+AJ9)," - ")</f>
        <v>4350</v>
      </c>
      <c r="BC9" s="125">
        <f>IF(ISNUMBER(X9),X9," - ")</f>
        <v>1132</v>
      </c>
      <c r="BD9" s="126">
        <f>IF(ISNUMBER(BA9/AZ9),BA9/AZ9," - ")</f>
        <v>1.1302190988011576</v>
      </c>
      <c r="BE9" s="127">
        <f>IF(ISNUMBER(BB9/BA9),BB9/BA9, " - ")</f>
        <v>1.5910753474762254</v>
      </c>
      <c r="BF9" s="127">
        <f>IF(ISNUMBER(BC9/BA9),BC9/BA9, " - ")</f>
        <v>0.41404535479151428</v>
      </c>
      <c r="BG9" s="196">
        <f>IF(ISNUMBER((AY9+AZ9)/BA9),(AY9+AZ9)/BA9," - ")</f>
        <v>2.5910753474762251</v>
      </c>
      <c r="BH9" s="154">
        <v>6</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106</v>
      </c>
      <c r="J10" s="181">
        <v>101</v>
      </c>
      <c r="K10" s="181">
        <v>88</v>
      </c>
      <c r="L10" s="181">
        <v>119</v>
      </c>
      <c r="M10" s="181">
        <v>22</v>
      </c>
      <c r="N10" s="181">
        <v>37</v>
      </c>
      <c r="O10" s="181">
        <v>20</v>
      </c>
      <c r="P10" s="181">
        <v>13</v>
      </c>
      <c r="Q10" s="181">
        <v>3</v>
      </c>
      <c r="R10" s="181">
        <v>85</v>
      </c>
      <c r="S10" s="181">
        <v>95</v>
      </c>
      <c r="T10" s="181">
        <v>42</v>
      </c>
      <c r="U10" s="181">
        <v>62</v>
      </c>
      <c r="V10" s="181">
        <v>75</v>
      </c>
      <c r="W10" s="181">
        <v>22</v>
      </c>
      <c r="X10" s="188">
        <v>29</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793</v>
      </c>
      <c r="AT10" s="192"/>
      <c r="AU10" s="200"/>
      <c r="AV10" s="192"/>
      <c r="AW10" s="200"/>
      <c r="AX10" s="192"/>
      <c r="AY10" s="128">
        <f t="shared" ref="AY10:BC10" si="0">IF(ISNUMBER(S10),S10," - ")</f>
        <v>95</v>
      </c>
      <c r="AZ10" s="129">
        <f t="shared" si="0"/>
        <v>42</v>
      </c>
      <c r="BA10" s="129">
        <f t="shared" si="0"/>
        <v>62</v>
      </c>
      <c r="BB10" s="129">
        <f t="shared" si="0"/>
        <v>75</v>
      </c>
      <c r="BC10" s="125">
        <f t="shared" si="0"/>
        <v>22</v>
      </c>
      <c r="BD10" s="126">
        <f>IF(ISNUMBER(BA10/AZ10),BA10/AZ10," - ")</f>
        <v>1.4761904761904763</v>
      </c>
      <c r="BE10" s="127">
        <f>IF(ISNUMBER(BB10/BA10),BB10/BA10, " - ")</f>
        <v>1.2096774193548387</v>
      </c>
      <c r="BF10" s="127">
        <f>IF(ISNUMBER(BC10/BA10),BC10/BA10, " - ")</f>
        <v>0.35483870967741937</v>
      </c>
      <c r="BG10" s="196">
        <f>IF(ISNUMBER((AY10+AZ10)/BA10),(AY10+AZ10)/BA10," - ")</f>
        <v>2.2096774193548385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t="s">
        <v>806</v>
      </c>
      <c r="J12" s="183" t="s">
        <v>800</v>
      </c>
      <c r="K12" s="183" t="s">
        <v>849</v>
      </c>
      <c r="L12" s="183" t="s">
        <v>811</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802</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5051</v>
      </c>
      <c r="J13" s="184">
        <f t="shared" si="6"/>
        <v>3269</v>
      </c>
      <c r="K13" s="184">
        <f t="shared" si="6"/>
        <v>2728</v>
      </c>
      <c r="L13" s="184">
        <f t="shared" si="6"/>
        <v>5592</v>
      </c>
      <c r="M13" s="184">
        <f t="shared" si="6"/>
        <v>652</v>
      </c>
      <c r="N13" s="184">
        <f t="shared" si="6"/>
        <v>1275</v>
      </c>
      <c r="O13" s="184">
        <f t="shared" si="6"/>
        <v>1526</v>
      </c>
      <c r="P13" s="184">
        <f t="shared" si="6"/>
        <v>739</v>
      </c>
      <c r="Q13" s="184">
        <f t="shared" si="6"/>
        <v>641</v>
      </c>
      <c r="R13" s="184">
        <f t="shared" si="6"/>
        <v>9950</v>
      </c>
      <c r="S13" s="184">
        <f t="shared" si="6"/>
        <v>4435</v>
      </c>
      <c r="T13" s="184">
        <f t="shared" si="6"/>
        <v>2182</v>
      </c>
      <c r="U13" s="184">
        <f t="shared" si="6"/>
        <v>2513</v>
      </c>
      <c r="V13" s="184">
        <f t="shared" si="6"/>
        <v>4104</v>
      </c>
      <c r="W13" s="184">
        <f t="shared" si="6"/>
        <v>568</v>
      </c>
      <c r="X13" s="184">
        <f t="shared" si="6"/>
        <v>1161</v>
      </c>
      <c r="Y13" s="184">
        <f t="shared" si="6"/>
        <v>272</v>
      </c>
      <c r="Z13" s="184">
        <f t="shared" si="6"/>
        <v>236</v>
      </c>
      <c r="AA13" s="184">
        <f t="shared" si="6"/>
        <v>254</v>
      </c>
      <c r="AB13" s="184">
        <f t="shared" si="6"/>
        <v>254</v>
      </c>
      <c r="AC13" s="184">
        <f t="shared" si="6"/>
        <v>0</v>
      </c>
      <c r="AD13" s="184">
        <f t="shared" si="6"/>
        <v>0</v>
      </c>
      <c r="AE13" s="184">
        <f t="shared" si="6"/>
        <v>0</v>
      </c>
      <c r="AF13" s="184">
        <f>SUBTOTAL(9,AF9:AF12)</f>
        <v>0</v>
      </c>
      <c r="AG13" s="184">
        <f t="shared" ref="AG13:AT13" si="7">SUBTOTAL(9,AG8:AG12)</f>
        <v>325</v>
      </c>
      <c r="AH13" s="184">
        <f t="shared" si="7"/>
        <v>279</v>
      </c>
      <c r="AI13" s="184">
        <f t="shared" si="7"/>
        <v>283</v>
      </c>
      <c r="AJ13" s="184">
        <f t="shared" si="7"/>
        <v>321</v>
      </c>
      <c r="AK13" s="184">
        <f t="shared" si="7"/>
        <v>0</v>
      </c>
      <c r="AL13" s="184">
        <f t="shared" si="7"/>
        <v>0</v>
      </c>
      <c r="AM13" s="184">
        <f t="shared" si="7"/>
        <v>0</v>
      </c>
      <c r="AN13" s="184">
        <f t="shared" si="7"/>
        <v>0</v>
      </c>
      <c r="AO13" s="184">
        <f t="shared" si="7"/>
        <v>7</v>
      </c>
      <c r="AP13" s="184">
        <f t="shared" si="7"/>
        <v>7</v>
      </c>
      <c r="AQ13" s="184">
        <f t="shared" si="7"/>
        <v>7</v>
      </c>
      <c r="AR13" s="184">
        <f t="shared" si="7"/>
        <v>7</v>
      </c>
      <c r="AS13" s="184">
        <f t="shared" si="7"/>
        <v>0</v>
      </c>
      <c r="AT13" s="184">
        <f t="shared" si="7"/>
        <v>0</v>
      </c>
      <c r="AU13" s="204"/>
      <c r="AV13" s="132"/>
      <c r="AW13" s="204"/>
      <c r="AX13" s="132"/>
      <c r="AY13" s="184">
        <f>SUBTOTAL(9,AY8:AY12)</f>
        <v>4760</v>
      </c>
      <c r="AZ13" s="184">
        <f>SUBTOTAL(9,AZ8:AZ12)</f>
        <v>2461</v>
      </c>
      <c r="BA13" s="184">
        <f>SUBTOTAL(9,BA8:BA12)</f>
        <v>2796</v>
      </c>
      <c r="BB13" s="184">
        <f>SUBTOTAL(9,BB8:BB12)</f>
        <v>4425</v>
      </c>
      <c r="BC13" s="184">
        <f>SUBTOTAL(9,BC8:BC12)</f>
        <v>1154</v>
      </c>
      <c r="BD13" s="205">
        <f>IF(ISNUMBER(BA13/AZ13),BA13/AZ13," - ")</f>
        <v>1.136123527021536</v>
      </c>
      <c r="BE13" s="206">
        <f>IF(ISNUMBER(BB13/BA13),BB13/BA13, " - ")</f>
        <v>1.5826180257510729</v>
      </c>
      <c r="BF13" s="206">
        <f>IF(ISNUMBER(BC13/BA13),BC13/BA13, " - ")</f>
        <v>0.4127324749642346</v>
      </c>
      <c r="BG13" s="207">
        <f>IF(ISNUMBER((AY13+AZ13)/BA13),(AY13+AZ13)/BA13," - ")</f>
        <v>2.5826180257510729</v>
      </c>
      <c r="BH13" s="140">
        <f>SUBTOTAL(9,BH8:BH12)</f>
        <v>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v>2248</v>
      </c>
      <c r="J15" s="183">
        <v>2257</v>
      </c>
      <c r="K15" s="183">
        <v>2270</v>
      </c>
      <c r="L15" s="183">
        <v>2235</v>
      </c>
      <c r="M15" s="183">
        <v>493</v>
      </c>
      <c r="N15" s="183">
        <v>936</v>
      </c>
      <c r="O15" s="181">
        <v>101</v>
      </c>
      <c r="P15" s="183">
        <v>232</v>
      </c>
      <c r="Q15" s="183">
        <v>235</v>
      </c>
      <c r="R15" s="183">
        <v>434</v>
      </c>
      <c r="S15" s="183">
        <v>2062</v>
      </c>
      <c r="T15" s="183">
        <v>2367</v>
      </c>
      <c r="U15" s="183">
        <v>2146</v>
      </c>
      <c r="V15" s="183">
        <v>2286</v>
      </c>
      <c r="W15" s="183">
        <v>462</v>
      </c>
      <c r="X15" s="189">
        <v>976</v>
      </c>
      <c r="Y15" s="202">
        <v>0</v>
      </c>
      <c r="Z15" s="183">
        <v>0</v>
      </c>
      <c r="AA15" s="183">
        <v>0</v>
      </c>
      <c r="AB15" s="183">
        <v>0</v>
      </c>
      <c r="AC15" s="183">
        <v>0</v>
      </c>
      <c r="AD15" s="183">
        <v>0</v>
      </c>
      <c r="AE15" s="183">
        <v>0</v>
      </c>
      <c r="AF15" s="189">
        <v>0</v>
      </c>
      <c r="AG15" s="202">
        <v>0</v>
      </c>
      <c r="AH15" s="183">
        <v>0</v>
      </c>
      <c r="AI15" s="183">
        <v>0</v>
      </c>
      <c r="AJ15" s="203">
        <v>0</v>
      </c>
      <c r="AK15" s="182">
        <v>0</v>
      </c>
      <c r="AL15" s="183">
        <v>19</v>
      </c>
      <c r="AM15" s="183">
        <v>18</v>
      </c>
      <c r="AN15" s="189">
        <v>1</v>
      </c>
      <c r="AO15" s="259">
        <v>3</v>
      </c>
      <c r="AP15" s="155">
        <v>3</v>
      </c>
      <c r="AQ15" s="155">
        <v>3</v>
      </c>
      <c r="AR15" s="155">
        <v>3</v>
      </c>
      <c r="AS15" s="340" t="s">
        <v>527</v>
      </c>
      <c r="AT15" s="203" t="s">
        <v>326</v>
      </c>
      <c r="AU15" s="202"/>
      <c r="AV15" s="203"/>
      <c r="AW15" s="202"/>
      <c r="AX15" s="203"/>
      <c r="AY15" s="128">
        <f t="shared" ref="AY15:BB16" si="9">IF(ISNUMBER(IF(D_I="SI",S15,S15+AK15)),IF(D_I="SI",S15,S15+AK15)," - ")</f>
        <v>2062</v>
      </c>
      <c r="AZ15" s="129">
        <f t="shared" si="9"/>
        <v>2367</v>
      </c>
      <c r="BA15" s="129">
        <f t="shared" si="9"/>
        <v>2146</v>
      </c>
      <c r="BB15" s="129">
        <f t="shared" si="9"/>
        <v>2286</v>
      </c>
      <c r="BC15" s="125">
        <f>IF(ISNUMBER(W15),W15," - ")</f>
        <v>462</v>
      </c>
      <c r="BD15" s="126">
        <f>IF(ISNUMBER(BA15/AZ15),BA15/AZ15," - ")</f>
        <v>0.90663286861005488</v>
      </c>
      <c r="BE15" s="127">
        <f>IF(ISNUMBER(BB15/BA15),BB15/BA15, " - ")</f>
        <v>1.0652376514445481</v>
      </c>
      <c r="BF15" s="127">
        <f>IF(ISNUMBER(BC15/BA15),BC15/BA15, " - ")</f>
        <v>0.21528424976700838</v>
      </c>
      <c r="BG15" s="196">
        <f t="shared" ref="BG15:BG16" si="10">IF(ISNUMBER((AY15+AZ15)/BA15),(AY15+AZ15)/BA15," - ")</f>
        <v>2.0638397017707364</v>
      </c>
      <c r="BH15" s="155">
        <v>3</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398</v>
      </c>
      <c r="J17" s="183">
        <v>373</v>
      </c>
      <c r="K17" s="183">
        <v>310</v>
      </c>
      <c r="L17" s="183">
        <v>464</v>
      </c>
      <c r="M17" s="183">
        <v>70</v>
      </c>
      <c r="N17" s="183">
        <v>130</v>
      </c>
      <c r="O17" s="183">
        <v>7</v>
      </c>
      <c r="P17" s="183">
        <v>11</v>
      </c>
      <c r="Q17" s="183">
        <v>7</v>
      </c>
      <c r="R17" s="183">
        <v>16</v>
      </c>
      <c r="S17" s="183">
        <v>449</v>
      </c>
      <c r="T17" s="183">
        <v>383</v>
      </c>
      <c r="U17" s="183">
        <v>377</v>
      </c>
      <c r="V17" s="183">
        <v>455</v>
      </c>
      <c r="W17" s="183">
        <v>45</v>
      </c>
      <c r="X17" s="189">
        <v>197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792</v>
      </c>
      <c r="AT17" s="209"/>
      <c r="AU17" s="200"/>
      <c r="AV17" s="209"/>
      <c r="AW17" s="200"/>
      <c r="AX17" s="209"/>
      <c r="AY17" s="128">
        <f t="shared" ref="AY17:BB17" si="14">IF(ISNUMBER(S17),S17," - ")</f>
        <v>449</v>
      </c>
      <c r="AZ17" s="129">
        <f t="shared" si="14"/>
        <v>383</v>
      </c>
      <c r="BA17" s="129">
        <f t="shared" si="14"/>
        <v>377</v>
      </c>
      <c r="BB17" s="129">
        <f t="shared" si="14"/>
        <v>455</v>
      </c>
      <c r="BC17" s="125">
        <f>IF(ISNUMBER(W17),W17," - ")</f>
        <v>45</v>
      </c>
      <c r="BD17" s="126">
        <f>IF(ISNUMBER(BA17/AZ17),BA17/AZ17," - ")</f>
        <v>0.98433420365535251</v>
      </c>
      <c r="BE17" s="127">
        <f>IF(ISNUMBER(BB17/BA17),BB17/BA17, " - ")</f>
        <v>1.2068965517241379</v>
      </c>
      <c r="BF17" s="127">
        <f>IF(ISNUMBER(BC17/BA17),BC17/BA17, " - ")</f>
        <v>0.11936339522546419</v>
      </c>
      <c r="BG17" s="196">
        <f>IF(ISNUMBER((AY17+AZ17)/BA17),(AY17+AZ17)/BA17," - ")</f>
        <v>2.2068965517241379</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2646</v>
      </c>
      <c r="J18" s="184">
        <f t="shared" si="15"/>
        <v>2630</v>
      </c>
      <c r="K18" s="184">
        <f t="shared" si="15"/>
        <v>2580</v>
      </c>
      <c r="L18" s="184">
        <f t="shared" si="15"/>
        <v>2699</v>
      </c>
      <c r="M18" s="184">
        <f t="shared" si="15"/>
        <v>563</v>
      </c>
      <c r="N18" s="184">
        <f t="shared" si="15"/>
        <v>1066</v>
      </c>
      <c r="O18" s="184">
        <f t="shared" si="15"/>
        <v>108</v>
      </c>
      <c r="P18" s="184">
        <f t="shared" si="15"/>
        <v>243</v>
      </c>
      <c r="Q18" s="184">
        <f t="shared" si="15"/>
        <v>242</v>
      </c>
      <c r="R18" s="184">
        <f t="shared" si="15"/>
        <v>450</v>
      </c>
      <c r="S18" s="184">
        <f t="shared" si="15"/>
        <v>2511</v>
      </c>
      <c r="T18" s="184">
        <f t="shared" si="15"/>
        <v>2750</v>
      </c>
      <c r="U18" s="184">
        <f t="shared" si="15"/>
        <v>2523</v>
      </c>
      <c r="V18" s="184">
        <f t="shared" si="15"/>
        <v>2741</v>
      </c>
      <c r="W18" s="184">
        <f t="shared" si="15"/>
        <v>507</v>
      </c>
      <c r="X18" s="184">
        <f t="shared" si="15"/>
        <v>1173</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19</v>
      </c>
      <c r="AM18" s="184">
        <f t="shared" si="15"/>
        <v>18</v>
      </c>
      <c r="AN18" s="184">
        <f t="shared" si="15"/>
        <v>1</v>
      </c>
      <c r="AO18" s="184">
        <f t="shared" si="15"/>
        <v>4</v>
      </c>
      <c r="AP18" s="184">
        <f t="shared" si="15"/>
        <v>4</v>
      </c>
      <c r="AQ18" s="184">
        <f t="shared" si="15"/>
        <v>4</v>
      </c>
      <c r="AR18" s="184">
        <f t="shared" si="15"/>
        <v>4</v>
      </c>
      <c r="AS18" s="184">
        <f t="shared" si="15"/>
        <v>0</v>
      </c>
      <c r="AT18" s="184">
        <f t="shared" si="15"/>
        <v>0</v>
      </c>
      <c r="AU18" s="204"/>
      <c r="AV18" s="132"/>
      <c r="AW18" s="204"/>
      <c r="AX18" s="132"/>
      <c r="AY18" s="184">
        <f>SUBTOTAL(9,AY14:AY17)</f>
        <v>2511</v>
      </c>
      <c r="AZ18" s="184">
        <f>SUBTOTAL(9,AZ14:AZ17)</f>
        <v>2750</v>
      </c>
      <c r="BA18" s="184">
        <f>SUBTOTAL(9,BA14:BA17)</f>
        <v>2523</v>
      </c>
      <c r="BB18" s="184">
        <f>SUBTOTAL(9,BB14:BB17)</f>
        <v>2741</v>
      </c>
      <c r="BC18" s="184">
        <f>SUBTOTAL(9,BC14:BC17)</f>
        <v>507</v>
      </c>
      <c r="BD18" s="205">
        <f>IF(ISNUMBER(BA18/AZ18),BA18/AZ18," - ")</f>
        <v>0.91745454545454541</v>
      </c>
      <c r="BE18" s="206">
        <f>IF(ISNUMBER(BB18/BA18),BB18/BA18, " - ")</f>
        <v>1.0864050733254063</v>
      </c>
      <c r="BF18" s="206">
        <f>IF(ISNUMBER(BC18/BA18),BC18/BA18, " - ")</f>
        <v>0.20095124851367419</v>
      </c>
      <c r="BG18" s="207">
        <f>IF(ISNUMBER((AY18+AZ18)/BA18),(AY18+AZ18)/BA18," - ")</f>
        <v>2.0852160126833135</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7697</v>
      </c>
      <c r="J19" s="134">
        <f t="shared" si="18"/>
        <v>5899</v>
      </c>
      <c r="K19" s="134">
        <f t="shared" si="18"/>
        <v>5308</v>
      </c>
      <c r="L19" s="134">
        <f t="shared" si="18"/>
        <v>8291</v>
      </c>
      <c r="M19" s="134">
        <f t="shared" si="18"/>
        <v>1215</v>
      </c>
      <c r="N19" s="134">
        <f t="shared" si="18"/>
        <v>2341</v>
      </c>
      <c r="O19" s="134">
        <f t="shared" si="18"/>
        <v>1634</v>
      </c>
      <c r="P19" s="134">
        <f t="shared" si="18"/>
        <v>982</v>
      </c>
      <c r="Q19" s="134">
        <f t="shared" si="18"/>
        <v>883</v>
      </c>
      <c r="R19" s="134">
        <f t="shared" si="18"/>
        <v>10400</v>
      </c>
      <c r="S19" s="134">
        <f t="shared" si="18"/>
        <v>6946</v>
      </c>
      <c r="T19" s="134">
        <f t="shared" si="18"/>
        <v>4932</v>
      </c>
      <c r="U19" s="134">
        <f t="shared" si="18"/>
        <v>5036</v>
      </c>
      <c r="V19" s="134">
        <f t="shared" si="18"/>
        <v>6845</v>
      </c>
      <c r="W19" s="134">
        <f t="shared" si="18"/>
        <v>1075</v>
      </c>
      <c r="X19" s="134">
        <f t="shared" si="18"/>
        <v>2334</v>
      </c>
      <c r="Y19" s="134">
        <f t="shared" si="18"/>
        <v>272</v>
      </c>
      <c r="Z19" s="134">
        <f t="shared" si="18"/>
        <v>236</v>
      </c>
      <c r="AA19" s="134">
        <f t="shared" si="18"/>
        <v>254</v>
      </c>
      <c r="AB19" s="134">
        <f t="shared" si="18"/>
        <v>254</v>
      </c>
      <c r="AC19" s="134">
        <f t="shared" si="18"/>
        <v>0</v>
      </c>
      <c r="AD19" s="134">
        <f t="shared" si="18"/>
        <v>0</v>
      </c>
      <c r="AE19" s="134">
        <f t="shared" si="18"/>
        <v>0</v>
      </c>
      <c r="AF19" s="134">
        <f t="shared" si="18"/>
        <v>0</v>
      </c>
      <c r="AG19" s="134">
        <f t="shared" si="18"/>
        <v>325</v>
      </c>
      <c r="AH19" s="134">
        <f t="shared" si="18"/>
        <v>279</v>
      </c>
      <c r="AI19" s="134">
        <f t="shared" si="18"/>
        <v>283</v>
      </c>
      <c r="AJ19" s="134">
        <f t="shared" si="18"/>
        <v>321</v>
      </c>
      <c r="AK19" s="134">
        <f t="shared" si="18"/>
        <v>0</v>
      </c>
      <c r="AL19" s="134">
        <f t="shared" si="18"/>
        <v>19</v>
      </c>
      <c r="AM19" s="134">
        <f t="shared" si="18"/>
        <v>18</v>
      </c>
      <c r="AN19" s="210">
        <f t="shared" si="18"/>
        <v>1</v>
      </c>
      <c r="AO19" s="211">
        <v>10</v>
      </c>
      <c r="AP19" s="211">
        <v>10</v>
      </c>
      <c r="AQ19" s="211">
        <v>10</v>
      </c>
      <c r="AR19" s="211">
        <v>10</v>
      </c>
      <c r="AS19" s="153">
        <f t="shared" si="18"/>
        <v>0</v>
      </c>
      <c r="AT19" s="153">
        <f t="shared" si="18"/>
        <v>0</v>
      </c>
      <c r="AU19" s="211"/>
      <c r="AV19" s="212"/>
      <c r="AW19" s="211"/>
      <c r="AX19" s="212"/>
      <c r="AY19" s="133">
        <f>SUBTOTAL(9,AY9:AY18)</f>
        <v>7271</v>
      </c>
      <c r="AZ19" s="134">
        <f>SUBTOTAL(9,AZ9:AZ18)</f>
        <v>5211</v>
      </c>
      <c r="BA19" s="134">
        <f>SUBTOTAL(9,BA9:BA18)</f>
        <v>5319</v>
      </c>
      <c r="BB19" s="134">
        <f>SUBTOTAL(9,BB9:BB18)</f>
        <v>7166</v>
      </c>
      <c r="BC19" s="135">
        <f>SUBTOTAL(9,BC9:BC18)</f>
        <v>1661</v>
      </c>
      <c r="BD19" s="213">
        <f>IF(ISNUMBER(BA19/AZ19),BA19/AZ19," - ")</f>
        <v>1.0207253886010363</v>
      </c>
      <c r="BE19" s="210">
        <f>IF(ISNUMBER(BB19/BA19),BB19/BA19, " - ")</f>
        <v>1.3472457228802406</v>
      </c>
      <c r="BF19" s="210">
        <f>IF(ISNUMBER(BC19/BA19),BC19/BA19, " - ")</f>
        <v>0.31227674374882497</v>
      </c>
      <c r="BG19" s="135">
        <f>IF(ISNUMBER((AY19+AZ19)/BA19),(AY19+AZ19)/BA19," - ")</f>
        <v>2.3466817070877983</v>
      </c>
      <c r="BH19" s="211">
        <f>SUBTOTAL(9,BH9:BH18)</f>
        <v>11</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1H3jBc5RV6i+0fulYKaWyXEJYeBV8IbUQzyDJuLzv/zv0nvVKKUVQETAKOnQbYZoSN3FzrHzBJR7Eb08zxqaVg==" saltValue="EMhMpIfha6mspMbAqe9e5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y1cVqf+Qnq5mrL476S6BJwgFLz63s23/im8ujvX5NTC1vMj3JOsagt2Ah/MW38C3/dF7fwFgS0vOJ/rxl7nAw==" saltValue="Z7EUgI8BUzj9kfMaC36Ij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COMUNIDAD VALENCIANA</v>
      </c>
    </row>
    <row r="2" spans="1:74" ht="16.5" customHeight="1">
      <c r="C2" s="488" t="str">
        <f>Criterios!A10 &amp;"  "&amp;Criterios!B10 &amp; "  " &amp; IF(NOT(ISBLANK(Criterios!A11)),Criterios!A11 &amp;"  "&amp;Criterios!B11,"")</f>
        <v>Provincias  VALENCIA  Resumenes por Partidos Judiciales  TORRENT</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6</v>
      </c>
      <c r="B9" s="501" t="s">
        <v>246</v>
      </c>
      <c r="C9" s="160" t="str">
        <f>Datos!A9</f>
        <v xml:space="preserve">Jdos. 1ª Instancia   </v>
      </c>
      <c r="D9" s="502"/>
      <c r="E9" s="260">
        <f>IF(ISNUMBER(Datos!AQ9),Datos!AQ9," - ")</f>
        <v>6</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236</v>
      </c>
      <c r="O9" s="334"/>
      <c r="P9" s="334"/>
      <c r="Q9" s="226">
        <f>IF(ISNUMBER(Datos!P9),Datos!P9,0)</f>
        <v>726</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638</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254</v>
      </c>
      <c r="AI9" s="334" t="str">
        <f>IF(ISNUMBER(Datos!CD9),Datos!CD9,"-")</f>
        <v>-</v>
      </c>
      <c r="AJ9" s="334" t="str">
        <f>IF(ISNUMBER(Datos!EN9),Datos!EN9," - ")</f>
        <v xml:space="preserve"> - </v>
      </c>
      <c r="AK9" s="334"/>
      <c r="AL9" s="479"/>
      <c r="AM9" s="335">
        <f>IF(ISNUMBER(Datos!R9),Datos!R9," - ")</f>
        <v>9865</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630</v>
      </c>
      <c r="BD9" s="229">
        <f>IF(ISNUMBER(Datos!N9),Datos!N9," - ")</f>
        <v>1238</v>
      </c>
      <c r="BE9" s="229" t="str">
        <f>IF(ISNUMBER(Datos!BW9),Datos!BW9," - ")</f>
        <v xml:space="preserve"> - </v>
      </c>
      <c r="BF9" s="228" t="str">
        <f>IF(ISNUMBER(Datos!BX9),Datos!BX9," - ")</f>
        <v xml:space="preserve"> - </v>
      </c>
      <c r="BG9" s="243">
        <f>IF(ISNUMBER(IF(J_V="SI",Datos!K9/Datos!J9,(Datos!K9+Datos!AA9)/(Datos!J9+Datos!Z9))),IF(J_V="SI",Datos!K9/Datos!J9,(Datos!K9+Datos!AA9)/(Datos!J9+Datos!Z9))," - ")</f>
        <v>0.85017626321974149</v>
      </c>
      <c r="BH9" s="260">
        <f>IF(ISNUMBER(((IF(J_V="SI",Datos!L9/Datos!K9,(Datos!L9+Datos!AB9)/(Datos!K9+Datos!AA9)))*11)/factor_trimestre),((IF(J_V="SI",Datos!L9/Datos!K9,(Datos!L9+Datos!AB9)/(Datos!K9+Datos!AA9)))*11)/factor_trimestre," - ")</f>
        <v>5.9367657221838295</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9.0007159660427539E-3</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1</v>
      </c>
      <c r="F10" s="225">
        <f>IF(ISNUMBER(Datos!L10+Datos!K10-Datos!J10),Datos!L10+Datos!K10-Datos!J10," - ")</f>
        <v>106</v>
      </c>
      <c r="G10" s="333">
        <f>IF(ISNUMBER(Datos!I10),Datos!I10," - ")</f>
        <v>106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13</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88</v>
      </c>
      <c r="AC10" s="226">
        <f>IF(ISNUMBER(Datos!Q10),Datos!Q10," - ")</f>
        <v>3</v>
      </c>
      <c r="AD10" s="334"/>
      <c r="AE10" s="484"/>
      <c r="AF10" s="332">
        <f>IF(ISNUMBER(Datos!L10),Datos!L10,"-")</f>
        <v>119</v>
      </c>
      <c r="AG10" s="334"/>
      <c r="AH10" s="334"/>
      <c r="AI10" s="334"/>
      <c r="AJ10" s="334"/>
      <c r="AK10" s="334"/>
      <c r="AL10" s="479"/>
      <c r="AM10" s="335">
        <f>IF(ISNUMBER(Datos!R10),Datos!R10," - ")</f>
        <v>85</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22</v>
      </c>
      <c r="BD10" s="229">
        <f>IF(ISNUMBER(Datos!N10),Datos!N10," - ")</f>
        <v>37</v>
      </c>
      <c r="BE10" s="229" t="str">
        <f>IF(ISNUMBER(Datos!BW10),Datos!BW10," - ")</f>
        <v xml:space="preserve"> - </v>
      </c>
      <c r="BF10" s="228" t="str">
        <f>IF(ISNUMBER(Datos!BX10),Datos!BX10," - ")</f>
        <v xml:space="preserve"> - </v>
      </c>
      <c r="BG10" s="243">
        <f>IF(ISNUMBER(Datos!K10/Datos!J10),Datos!K10/Datos!J10," - ")</f>
        <v>0.87128712871287128</v>
      </c>
      <c r="BH10" s="260">
        <f>IF(ISNUMBER(((Datos!L10/Datos!K10)*11)/factor_trimestre),((Datos!L10/Datos!K10)*11)/factor_trimestre," - ")</f>
        <v>4.0568181818181817</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0.13333333333333333</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7</v>
      </c>
      <c r="F13" s="898">
        <f t="shared" si="0"/>
        <v>106</v>
      </c>
      <c r="G13" s="898">
        <f t="shared" si="0"/>
        <v>106</v>
      </c>
      <c r="H13" s="899">
        <f t="shared" si="0"/>
        <v>0</v>
      </c>
      <c r="I13" s="898">
        <f t="shared" si="0"/>
        <v>0</v>
      </c>
      <c r="J13" s="867">
        <f t="shared" si="0"/>
        <v>0</v>
      </c>
      <c r="K13" s="867">
        <f t="shared" si="0"/>
        <v>0</v>
      </c>
      <c r="L13" s="899">
        <f t="shared" si="0"/>
        <v>0</v>
      </c>
      <c r="M13" s="899">
        <f t="shared" si="0"/>
        <v>0</v>
      </c>
      <c r="N13" s="899">
        <f t="shared" si="0"/>
        <v>236</v>
      </c>
      <c r="O13" s="900">
        <f t="shared" si="0"/>
        <v>0</v>
      </c>
      <c r="P13" s="900">
        <f t="shared" si="0"/>
        <v>0</v>
      </c>
      <c r="Q13" s="899">
        <f t="shared" si="0"/>
        <v>739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88</v>
      </c>
      <c r="AC13" s="899">
        <f t="shared" si="1"/>
        <v>641</v>
      </c>
      <c r="AD13" s="899">
        <f t="shared" si="1"/>
        <v>0</v>
      </c>
      <c r="AE13" s="899">
        <f t="shared" si="1"/>
        <v>0</v>
      </c>
      <c r="AF13" s="899">
        <f t="shared" si="1"/>
        <v>119</v>
      </c>
      <c r="AG13" s="899">
        <f t="shared" si="1"/>
        <v>0</v>
      </c>
      <c r="AH13" s="899">
        <f t="shared" si="1"/>
        <v>254</v>
      </c>
      <c r="AI13" s="899">
        <f t="shared" si="1"/>
        <v>0</v>
      </c>
      <c r="AJ13" s="899">
        <f t="shared" si="1"/>
        <v>0</v>
      </c>
      <c r="AK13" s="899">
        <f t="shared" si="1"/>
        <v>0</v>
      </c>
      <c r="AL13" s="899">
        <f t="shared" si="1"/>
        <v>0</v>
      </c>
      <c r="AM13" s="899">
        <f t="shared" si="1"/>
        <v>9950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652</v>
      </c>
      <c r="BD13" s="899">
        <f t="shared" si="1"/>
        <v>1275</v>
      </c>
      <c r="BE13" s="899">
        <f t="shared" si="1"/>
        <v>0</v>
      </c>
      <c r="BF13" s="899">
        <f t="shared" si="1"/>
        <v>0</v>
      </c>
      <c r="BG13" s="899">
        <f>IF(ISNUMBER(Datos!K13/Datos!J13),Datos!K13/Datos!J13," - ")</f>
        <v>0.83450596512695019</v>
      </c>
      <c r="BH13" s="903">
        <f>IF(ISNUMBER(((Datos!L13/Datos!K13)*11)/factor_trimestre),((Datos!L13/Datos!K13)*11)/factor_trimestre," - ")</f>
        <v>6.1495601173020527</v>
      </c>
      <c r="BI13" s="899">
        <f>IF(ISNUMBER('Resol  Asuntos'!D13/NºAsuntos!G13),'Resol  Asuntos'!D13/NºAsuntos!G13," - ")</f>
        <v>0.21864520456069753</v>
      </c>
      <c r="BJ13" s="899" t="str">
        <f>IF(ISNUMBER(Datos!CI13/Datos!CJ13),Datos!CI13/Datos!CJ13," - ")</f>
        <v xml:space="preserve"> - </v>
      </c>
      <c r="BK13" s="899">
        <f>SUBTOTAL(9,BK8:BK12)</f>
        <v>0</v>
      </c>
      <c r="BL13" s="899">
        <f>IF(ISNUMBER((I13-AB13+L13)/(F13)),(I13-AB13+L13)/(F13)," - ")</f>
        <v>-0.83018867924528306</v>
      </c>
      <c r="BM13" s="904">
        <f>SUBTOTAL(9,BM9:BM12)</f>
        <v>0.1423340492993761</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3</v>
      </c>
      <c r="B15" s="594" t="s">
        <v>396</v>
      </c>
      <c r="C15" s="600" t="str">
        <f>Datos!A15</f>
        <v xml:space="preserve">Jdos. Instrucción                               </v>
      </c>
      <c r="D15" s="601"/>
      <c r="E15" s="1165">
        <f>IF(ISNUMBER(Datos!AQ15),Datos!AQ15," - ")</f>
        <v>3</v>
      </c>
      <c r="F15" s="595">
        <f>IF(ISNUMBER(AF15+AB15-Datos!J15-L15),AF15+AB15-Datos!J15-L15," - ")</f>
        <v>2248</v>
      </c>
      <c r="G15" s="598">
        <f>IF(ISNUMBER(IF(D_I="SI",Datos!I15,Datos!I15+Datos!AC15)),IF(D_I="SI",Datos!I15,Datos!I15+Datos!AC15)," - ")</f>
        <v>2248</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232</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2270</v>
      </c>
      <c r="AC15" s="226">
        <f>IF(ISNUMBER(Datos!Q15),Datos!Q15," - ")</f>
        <v>235</v>
      </c>
      <c r="AD15" s="334"/>
      <c r="AE15" s="484"/>
      <c r="AF15" s="596">
        <f>IF(ISNUMBER(IF(D_I="SI",Datos!L15,Datos!L15+Datos!AF15)),IF(D_I="SI",Datos!L15,Datos!L15+Datos!AF15)," - ")</f>
        <v>2235</v>
      </c>
      <c r="AG15" s="334"/>
      <c r="AH15" s="334"/>
      <c r="AI15" s="334"/>
      <c r="AJ15" s="334"/>
      <c r="AK15" s="334"/>
      <c r="AL15" s="479"/>
      <c r="AM15" s="335">
        <f>IF(ISNUMBER(Datos!R15),Datos!R15," - ")</f>
        <v>434</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493</v>
      </c>
      <c r="BD15" s="229">
        <f>IF(ISNUMBER(Datos!N15),Datos!N15," - ")</f>
        <v>936</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1.0057598582188747</v>
      </c>
      <c r="BH15" s="260">
        <f>IF(ISNUMBER(((IF(D_I="SI",Datos!L15/Datos!K15,(Datos!L15+Datos!AF15)/(Datos!K15+Datos!AE15)))*11)/factor_trimestre),((IF(D_I="SI",Datos!L15/Datos!K15,(Datos!L15+Datos!AF15)/(Datos!K15+Datos!AE15)))*11)/factor_trimestre," - ")</f>
        <v>2.9537444933920707</v>
      </c>
      <c r="BI15" s="243">
        <f>IF(ISNUMBER('Resol  Asuntos'!D15/NºAsuntos!G15),'Resol  Asuntos'!D15/NºAsuntos!G15," - ")</f>
        <v>0.21718061674008809</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398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310</v>
      </c>
      <c r="AC17" s="226">
        <f>IF(ISNUMBER(Datos!Q17),Datos!Q17," - ")</f>
        <v>7</v>
      </c>
      <c r="AD17" s="334"/>
      <c r="AE17" s="484"/>
      <c r="AF17" s="332">
        <f>IF(ISNUMBER(Datos!L17),Datos!L17,"-")</f>
        <v>464</v>
      </c>
      <c r="AG17" s="334"/>
      <c r="AH17" s="334"/>
      <c r="AI17" s="334"/>
      <c r="AJ17" s="334"/>
      <c r="AK17" s="334"/>
      <c r="AL17" s="479"/>
      <c r="AM17" s="335">
        <f>IF(ISNUMBER(Datos!R17),Datos!R17," - ")</f>
        <v>16</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70</v>
      </c>
      <c r="BD17" s="229">
        <f>IF(ISNUMBER(Datos!N17),Datos!N17," - ")</f>
        <v>130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0.83109919571045576</v>
      </c>
      <c r="BH17" s="260">
        <f>IF(ISNUMBER(((IF(D_I="SI",Datos!L17/Datos!K17,(Datos!L17+Datos!AF17)/(Datos!K17+Datos!AE17)))*11)/factor_trimestre),((IF(D_I="SI",Datos!L17/Datos!K17,(Datos!L17+Datos!AF17)/(Datos!K17+Datos!AE17)))*11)/factor_trimestre," - ")</f>
        <v>4.4903225806451612</v>
      </c>
      <c r="BI17" s="243">
        <f>IF(ISNUMBER('Resol  Asuntos'!D17/NºAsuntos!G17),'Resol  Asuntos'!D17/NºAsuntos!G17," - ")</f>
        <v>0.22580645161290322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4</v>
      </c>
      <c r="F18" s="898">
        <f>SUBTOTAL(9,F15:F17)</f>
        <v>2248</v>
      </c>
      <c r="G18" s="898">
        <f>SUBTOTAL(9,G15:G17)</f>
        <v>2646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243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2580</v>
      </c>
      <c r="AC18" s="899">
        <f t="shared" si="4"/>
        <v>242</v>
      </c>
      <c r="AD18" s="899">
        <f t="shared" si="4"/>
        <v>0</v>
      </c>
      <c r="AE18" s="899">
        <f t="shared" si="4"/>
        <v>0</v>
      </c>
      <c r="AF18" s="899">
        <f t="shared" si="4"/>
        <v>2699</v>
      </c>
      <c r="AG18" s="899">
        <f t="shared" si="4"/>
        <v>0</v>
      </c>
      <c r="AH18" s="899">
        <f t="shared" si="4"/>
        <v>0</v>
      </c>
      <c r="AI18" s="899">
        <f t="shared" si="4"/>
        <v>0</v>
      </c>
      <c r="AJ18" s="899">
        <f t="shared" si="4"/>
        <v>0</v>
      </c>
      <c r="AK18" s="899">
        <f t="shared" si="4"/>
        <v>0</v>
      </c>
      <c r="AL18" s="899">
        <f t="shared" si="4"/>
        <v>0</v>
      </c>
      <c r="AM18" s="899">
        <f t="shared" si="4"/>
        <v>450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563</v>
      </c>
      <c r="BD18" s="899">
        <f t="shared" si="4"/>
        <v>1066</v>
      </c>
      <c r="BE18" s="899">
        <f t="shared" si="4"/>
        <v>0</v>
      </c>
      <c r="BF18" s="899">
        <f t="shared" si="4"/>
        <v>0</v>
      </c>
      <c r="BG18" s="899">
        <f>IF(ISNUMBER(Datos!K18/Datos!J18),Datos!K18/Datos!J18," - ")</f>
        <v>0.98098859315589348</v>
      </c>
      <c r="BH18" s="903">
        <f>IF(ISNUMBER(((Datos!L18/Datos!K18)*11)/factor_trimestre),((Datos!L18/Datos!K18)*11)/factor_trimestre," - ")</f>
        <v>3.1383720930232557</v>
      </c>
      <c r="BI18" s="899">
        <f>SUBTOTAL(9,BI15:BI17)</f>
        <v>0.44298706835299129</v>
      </c>
      <c r="BJ18" s="899">
        <f>SUBTOTAL(9,BJ15:BJ17)</f>
        <v>0</v>
      </c>
      <c r="BK18" s="899">
        <f>SUBTOTAL(9,BK15:BK17)</f>
        <v>0</v>
      </c>
      <c r="BL18" s="899">
        <f>IF(ISNUMBER((I18-AB18+L18)/(F18)),(I18-AB18+L18)/(F18)," - ")</f>
        <v>-1.1476868327402134</v>
      </c>
      <c r="BM18" s="905">
        <f>IF(ISNUMBER((Datos!P18-Datos!Q18)/(Datos!R18-Datos!P18+Datos!Q18)),(Datos!P18-Datos!Q18)/(Datos!R18-Datos!P18+Datos!Q18)," - ")</f>
        <v>2.2271714922048997E-3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11</v>
      </c>
      <c r="F19" s="820">
        <f t="shared" si="6"/>
        <v>2354</v>
      </c>
      <c r="G19" s="820">
        <f t="shared" si="6"/>
        <v>2752</v>
      </c>
      <c r="H19" s="822">
        <f t="shared" si="6"/>
        <v>0</v>
      </c>
      <c r="I19" s="820">
        <f t="shared" si="6"/>
        <v>0</v>
      </c>
      <c r="J19" s="822">
        <f t="shared" si="6"/>
        <v>0</v>
      </c>
      <c r="K19" s="822">
        <f t="shared" si="6"/>
        <v>0</v>
      </c>
      <c r="L19" s="881">
        <f t="shared" si="6"/>
        <v>0</v>
      </c>
      <c r="M19" s="881">
        <f t="shared" si="6"/>
        <v>0</v>
      </c>
      <c r="N19" s="881">
        <f t="shared" si="6"/>
        <v>236</v>
      </c>
      <c r="O19" s="881">
        <f t="shared" si="6"/>
        <v>0</v>
      </c>
      <c r="P19" s="881">
        <f t="shared" si="6"/>
        <v>0</v>
      </c>
      <c r="Q19" s="822">
        <f t="shared" si="6"/>
        <v>982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2668</v>
      </c>
      <c r="AC19" s="821">
        <f t="shared" si="7"/>
        <v>883</v>
      </c>
      <c r="AD19" s="821">
        <f t="shared" si="7"/>
        <v>0</v>
      </c>
      <c r="AE19" s="821">
        <f t="shared" si="7"/>
        <v>0</v>
      </c>
      <c r="AF19" s="828">
        <f t="shared" si="7"/>
        <v>2818</v>
      </c>
      <c r="AG19" s="828">
        <f t="shared" si="7"/>
        <v>0</v>
      </c>
      <c r="AH19" s="828">
        <f t="shared" si="7"/>
        <v>254</v>
      </c>
      <c r="AI19" s="828">
        <f t="shared" si="7"/>
        <v>0</v>
      </c>
      <c r="AJ19" s="821">
        <f t="shared" si="7"/>
        <v>0</v>
      </c>
      <c r="AK19" s="828">
        <f t="shared" si="7"/>
        <v>0</v>
      </c>
      <c r="AL19" s="828">
        <f t="shared" si="7"/>
        <v>0</v>
      </c>
      <c r="AM19" s="828">
        <f t="shared" si="7"/>
        <v>10400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1215</v>
      </c>
      <c r="BD19" s="820">
        <f t="shared" si="7"/>
        <v>2341</v>
      </c>
      <c r="BE19" s="820">
        <f t="shared" si="7"/>
        <v>0</v>
      </c>
      <c r="BF19" s="830">
        <f t="shared" si="7"/>
        <v>0</v>
      </c>
      <c r="BG19" s="915">
        <f>IF(ISNUMBER(Datos!K19/Datos!J19),Datos!K19/Datos!J19," - ")</f>
        <v>0.89981352771656209</v>
      </c>
      <c r="BH19" s="915">
        <f>IF(ISNUMBER(((Datos!L19/Datos!K19)*11)/factor_trimestre),((Datos!L19/Datos!K19)*11)/factor_trimestre," - ")</f>
        <v>4.68594574227581</v>
      </c>
      <c r="BI19" s="813">
        <f>IF(ISNUMBER(Datos!J19/Datos!I19),Datos!J19/Datos!I19," - ")</f>
        <v>0.76640249447836817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-1.1333899745114699</v>
      </c>
      <c r="BM19" s="889">
        <f>IF(ISNUMBER((Datos!P19-Datos!Q19+R19)/(Datos!R19-Datos!P19+Datos!Q19-R19)),(Datos!P19-Datos!Q19+R19)/(Datos!R19-Datos!P19+Datos!Q19-R19)," - ")</f>
        <v>9.6107174060770795E-3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1100.8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2.6977356760397742</v>
      </c>
      <c r="F21" s="551">
        <f>IF(ISNUMBER(STDEV(F8:F18)),STDEV(F8:F18),"-")</f>
        <v>1236.6842766041784</v>
      </c>
      <c r="G21" s="552">
        <f>IF(ISNUMBER(STDEV(G8:G18)),STDEV(G8:G18),"-")</f>
        <v>1242.6677753929246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1247.628630642949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283.99154917004131</v>
      </c>
      <c r="BD21" s="551"/>
      <c r="BE21" s="551">
        <f>IF(ISNUMBER(STDEV(BE8:BE18)),STDEV(BE8:BE18),"-")</f>
        <v>0</v>
      </c>
      <c r="BF21" s="556">
        <f>IF(ISNUMBER(STDEV(BF8:BF18)),STDEV(BF8:BF18),"-")</f>
        <v>0</v>
      </c>
      <c r="BG21" s="775">
        <f>IF(ISNUMBER(STDEV(BG8:BG18)),STDEV(BG8:BG18),"-")</f>
        <v>7.7425660836512089E-2</v>
      </c>
      <c r="BH21" s="776">
        <f>IF(ISNUMBER(STDEV(BH8:BH18)),STDEV(BH8:BH18),"-")</f>
        <v>1.3575149341206876</v>
      </c>
      <c r="BI21" s="249">
        <f>IF(ISNUMBER(STDEV(BI8:BI18)),STDEV(BI8:BI18),"-")</f>
        <v>0.11128532369226084</v>
      </c>
      <c r="BJ21" s="230" t="str">
        <f>IF(ISNUMBER(BL21/BM21),BL21/BM21," - ")</f>
        <v xml:space="preserve"> - </v>
      </c>
      <c r="BK21" s="575"/>
      <c r="BL21" s="559">
        <f>IF(ISNUMBER(STDEV(BL8:BL18)),STDEV(BL8:BL18),"-")</f>
        <v>0.22450509735047303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J1ceUVoZjtDk15qgSKv0E6xMi4kQGRfXxOFRw9BZAA58uicwmDG3dyORwgLMmxuKCMB1kOo5eGVPrbkyo27nOQ==" saltValue="b0jFpW0it94xbt90HWy+g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COMUNIDAD VALENCIANA</v>
      </c>
    </row>
    <row r="2" spans="1:73" ht="16.5" customHeight="1">
      <c r="C2" s="528" t="str">
        <f>Criterios!A10 &amp;"  "&amp;Criterios!B10 &amp; "  " &amp; IF(NOT(ISBLANK(Criterios!A11)),Criterios!A11 &amp;"  "&amp;Criterios!B11,"")</f>
        <v>Provincias  VALENCIA  Resumenes por Partidos Judiciales  TORRENT</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6</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726</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638</v>
      </c>
      <c r="AA9" s="332" t="str">
        <f>IF(ISNUMBER(IF(J_V="SI",Datos!L9,Datos!L9+Datos!AB9)-IF(Monitorios="SI",Datos!CD9,0)),
                          IF(J_V="SI",Datos!L9,Datos!L9+Datos!AB9)-IF(Monitorios="SI",Datos!CD9,0),
                          " - ")</f>
        <v xml:space="preserve"> - </v>
      </c>
      <c r="AB9" s="334"/>
      <c r="AC9" s="334"/>
      <c r="AD9" s="484"/>
      <c r="AE9" s="484">
        <f>IF(ISNUMBER(Datos!R9),Datos!R9," - ")</f>
        <v>9865</v>
      </c>
      <c r="AF9" s="229" t="str">
        <f>IF(ISNUMBER(Datos!BV9),Datos!BV9," - ")</f>
        <v xml:space="preserve"> - </v>
      </c>
      <c r="AG9" s="225" t="str">
        <f>IF(ISNUMBER(Datos!DV9),Datos!DV9," - ")</f>
        <v xml:space="preserve"> - </v>
      </c>
      <c r="AH9" s="298"/>
      <c r="AI9" s="227"/>
      <c r="AJ9" s="225">
        <f>IF(ISNUMBER(Datos!M9),Datos!M9," - ")</f>
        <v>630</v>
      </c>
      <c r="AK9" s="229">
        <f>IF(ISNUMBER(Datos!N9),Datos!N9," - ")</f>
        <v>1238</v>
      </c>
      <c r="AL9" s="229" t="str">
        <f>IF(ISNUMBER(Datos!BW9),Datos!BW9," - ")</f>
        <v xml:space="preserve"> - </v>
      </c>
      <c r="AM9" s="228" t="str">
        <f>IF(ISNUMBER(Datos!BX9),Datos!BX9," - ")</f>
        <v xml:space="preserve"> - </v>
      </c>
      <c r="AN9" s="243"/>
      <c r="AO9" s="260">
        <f>IF(ISNUMBER(((NºAsuntos!I9/NºAsuntos!G9)*11)/factor_trimestre),((NºAsuntos!I9/NºAsuntos!G9)*11)/factor_trimestre," - ")</f>
        <v>5.9367657221838295</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9.0007159660427539E-3</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1</v>
      </c>
      <c r="F10" s="225">
        <f>IF(ISNUMBER(Datos!L10+Datos!K10-Datos!J10),Datos!L10+Datos!K10-Datos!J10," - ")</f>
        <v>106</v>
      </c>
      <c r="G10" s="225">
        <f>IF(ISNUMBER(Datos!I10),Datos!I10," - ")</f>
        <v>106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13</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88</v>
      </c>
      <c r="Z10" s="619">
        <f>IF(ISNUMBER(Datos!Q10),Datos!Q10," - ")</f>
        <v>3</v>
      </c>
      <c r="AA10" s="332">
        <f>IF(ISNUMBER(Datos!L10),Datos!L10,"-")</f>
        <v>119</v>
      </c>
      <c r="AB10" s="334"/>
      <c r="AC10" s="334"/>
      <c r="AD10" s="484"/>
      <c r="AE10" s="484">
        <f>IF(ISNUMBER(Datos!R10),Datos!R10," - ")</f>
        <v>85</v>
      </c>
      <c r="AF10" s="229" t="str">
        <f>IF(ISNUMBER(Datos!BV10),Datos!BV10," - ")</f>
        <v xml:space="preserve"> - </v>
      </c>
      <c r="AG10" s="225" t="str">
        <f>IF(ISNUMBER(Datos!DV10),Datos!DV10," - ")</f>
        <v xml:space="preserve"> - </v>
      </c>
      <c r="AH10" s="298"/>
      <c r="AI10" s="227"/>
      <c r="AJ10" s="225">
        <f>IF(ISNUMBER(Datos!M10),Datos!M10," - ")</f>
        <v>22</v>
      </c>
      <c r="AK10" s="229">
        <f>IF(ISNUMBER(Datos!N10),Datos!N10," - ")</f>
        <v>37</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4.0568181818181817</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0.13333333333333333</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IF(ISNUMBER((J12-Y12+K12)/(F12)),(J12-Y12+K12)/(F12),"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7</v>
      </c>
      <c r="F13" s="898">
        <f>SUBTOTAL(9,F8:F12)</f>
        <v>106</v>
      </c>
      <c r="G13" s="898">
        <f>SUBTOTAL(9,G8:G12)</f>
        <v>106</v>
      </c>
      <c r="H13" s="908"/>
      <c r="I13" s="898">
        <f t="shared" ref="I13:N13" si="0">SUBTOTAL(9,I8:I12)</f>
        <v>0</v>
      </c>
      <c r="J13" s="867">
        <f t="shared" si="0"/>
        <v>0</v>
      </c>
      <c r="K13" s="908">
        <f t="shared" si="0"/>
        <v>0</v>
      </c>
      <c r="L13" s="908">
        <f t="shared" si="0"/>
        <v>0</v>
      </c>
      <c r="M13" s="908">
        <f t="shared" si="0"/>
        <v>0</v>
      </c>
      <c r="N13" s="908">
        <f t="shared" si="0"/>
        <v>739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88</v>
      </c>
      <c r="Z13" s="907">
        <f t="shared" si="2"/>
        <v>641</v>
      </c>
      <c r="AA13" s="900">
        <f t="shared" si="2"/>
        <v>119</v>
      </c>
      <c r="AB13" s="900">
        <f t="shared" si="2"/>
        <v>0</v>
      </c>
      <c r="AC13" s="900">
        <f t="shared" si="2"/>
        <v>0</v>
      </c>
      <c r="AD13" s="900">
        <f t="shared" si="2"/>
        <v>0</v>
      </c>
      <c r="AE13" s="900">
        <f t="shared" si="2"/>
        <v>9950</v>
      </c>
      <c r="AF13" s="908">
        <f t="shared" si="2"/>
        <v>0</v>
      </c>
      <c r="AG13" s="908">
        <f t="shared" si="2"/>
        <v>0</v>
      </c>
      <c r="AH13" s="908">
        <f t="shared" si="2"/>
        <v>0</v>
      </c>
      <c r="AI13" s="908">
        <f t="shared" si="2"/>
        <v>0</v>
      </c>
      <c r="AJ13" s="908">
        <f t="shared" si="2"/>
        <v>652</v>
      </c>
      <c r="AK13" s="908">
        <f t="shared" si="2"/>
        <v>1275</v>
      </c>
      <c r="AL13" s="908">
        <f t="shared" si="2"/>
        <v>0</v>
      </c>
      <c r="AM13" s="908">
        <f t="shared" si="2"/>
        <v>0</v>
      </c>
      <c r="AN13" s="908">
        <f t="shared" si="2"/>
        <v>0</v>
      </c>
      <c r="AO13" s="904">
        <f>IF(ISNUMBER(((NºAsuntos!I13/NºAsuntos!G13)*11)/factor_trimestre),((NºAsuntos!I13/NºAsuntos!G13)*11)/factor_trimestre," - ")</f>
        <v>5.8812877263581491</v>
      </c>
      <c r="AP13" s="910" t="str">
        <f>IF(ISNUMBER(Datos!CI13/Datos!CJ13),Datos!CI13/Datos!CJ13," - ")</f>
        <v xml:space="preserve"> - </v>
      </c>
      <c r="AQ13" s="928">
        <f t="shared" ref="AQ13:AV13" si="3">SUBTOTAL(9,AQ9:AQ12)</f>
        <v>0</v>
      </c>
      <c r="AR13" s="928">
        <f t="shared" si="3"/>
        <v>0.1423340492993761</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3</v>
      </c>
      <c r="B15" s="507" t="s">
        <v>396</v>
      </c>
      <c r="C15" s="160" t="str">
        <f>Datos!A15</f>
        <v xml:space="preserve">Jdos. Instrucción                               </v>
      </c>
      <c r="D15" s="502"/>
      <c r="E15" s="1168">
        <f>IF(ISNUMBER(Datos!AQ15),Datos!AQ15," - ")</f>
        <v>3</v>
      </c>
      <c r="F15" s="333">
        <f>IF(ISNUMBER(AA15+Y15-Datos!J15-K15),AA15+Y15-Datos!J15-K15," - ")</f>
        <v>2248</v>
      </c>
      <c r="G15" s="225">
        <f>IF(ISNUMBER(IF(D_I="SI",Datos!I15,Datos!I15+Datos!AC15)),IF(D_I="SI",Datos!I15,Datos!I15+Datos!AC15)," - ")</f>
        <v>2248</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232</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2270</v>
      </c>
      <c r="Z15" s="619">
        <f>IF(ISNUMBER(Datos!Q15),Datos!Q15," - ")</f>
        <v>235</v>
      </c>
      <c r="AA15" s="332">
        <f>IF(ISNUMBER(IF(D_I="SI",Datos!L15,Datos!L15+Datos!AF15)),IF(D_I="SI",Datos!L15,Datos!L15+Datos!AF15)," - ")</f>
        <v>2235</v>
      </c>
      <c r="AB15" s="334"/>
      <c r="AC15" s="334"/>
      <c r="AD15" s="484"/>
      <c r="AE15" s="484">
        <f>IF(ISNUMBER(Datos!R15),Datos!R15," - ")</f>
        <v>434</v>
      </c>
      <c r="AF15" s="229" t="str">
        <f>IF(ISNUMBER(Datos!BV15),Datos!BV15," - ")</f>
        <v xml:space="preserve"> - </v>
      </c>
      <c r="AG15" s="225"/>
      <c r="AH15" s="298"/>
      <c r="AI15" s="227"/>
      <c r="AJ15" s="225">
        <f>IF(ISNUMBER(Datos!M15),Datos!M15," - ")</f>
        <v>493</v>
      </c>
      <c r="AK15" s="229">
        <f>IF(ISNUMBER(Datos!N15),Datos!N15," - ")</f>
        <v>936</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2.9537444933920707</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398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310</v>
      </c>
      <c r="Z17" s="619">
        <f>IF(ISNUMBER(Datos!Q17),Datos!Q17," - ")</f>
        <v>7</v>
      </c>
      <c r="AA17" s="332">
        <f>IF(ISNUMBER(Datos!L17),Datos!L17,"-")</f>
        <v>464</v>
      </c>
      <c r="AB17" s="334"/>
      <c r="AC17" s="334"/>
      <c r="AD17" s="484"/>
      <c r="AE17" s="484">
        <f>IF(ISNUMBER(Datos!R17),Datos!R17," - ")</f>
        <v>16</v>
      </c>
      <c r="AF17" s="229" t="str">
        <f>IF(ISNUMBER(Datos!BV17),Datos!BV17," - ")</f>
        <v xml:space="preserve"> - </v>
      </c>
      <c r="AG17" s="225" t="str">
        <f>IF(ISNUMBER(Datos!DV17),Datos!DV17," - ")</f>
        <v xml:space="preserve"> - </v>
      </c>
      <c r="AH17" s="298"/>
      <c r="AI17" s="227"/>
      <c r="AJ17" s="225">
        <f>IF(ISNUMBER(Datos!M17),Datos!M17," - ")</f>
        <v>70</v>
      </c>
      <c r="AK17" s="229">
        <f>IF(ISNUMBER(Datos!N17),Datos!N17," - ")</f>
        <v>130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4.4903225806451612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4</v>
      </c>
      <c r="F18" s="898">
        <f>SUBTOTAL(9,F15:F17)</f>
        <v>2248</v>
      </c>
      <c r="G18" s="898">
        <f>SUBTOTAL(9,G15:G17)</f>
        <v>2646</v>
      </c>
      <c r="H18" s="932">
        <f>SUBTOTAL(9,H15:H17)</f>
        <v>0</v>
      </c>
      <c r="I18" s="911">
        <f>SUBTOTAL(9,I15:I17)</f>
        <v>0</v>
      </c>
      <c r="J18" s="867">
        <f>SUBTOTAL(9,J14:J17)</f>
        <v>0</v>
      </c>
      <c r="K18" s="932">
        <f t="shared" ref="K18:S18" si="4">SUBTOTAL(9,K15:K17)</f>
        <v>0</v>
      </c>
      <c r="L18" s="932">
        <f t="shared" si="4"/>
        <v>0</v>
      </c>
      <c r="M18" s="932">
        <f t="shared" si="4"/>
        <v>0</v>
      </c>
      <c r="N18" s="932">
        <f t="shared" si="4"/>
        <v>243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2580</v>
      </c>
      <c r="Z18" s="932">
        <f t="shared" si="5"/>
        <v>242</v>
      </c>
      <c r="AA18" s="932">
        <f t="shared" si="5"/>
        <v>2699</v>
      </c>
      <c r="AB18" s="932">
        <f t="shared" si="5"/>
        <v>0</v>
      </c>
      <c r="AC18" s="932">
        <f t="shared" si="5"/>
        <v>0</v>
      </c>
      <c r="AD18" s="932">
        <f t="shared" si="5"/>
        <v>0</v>
      </c>
      <c r="AE18" s="932">
        <f t="shared" si="5"/>
        <v>450</v>
      </c>
      <c r="AF18" s="932">
        <f t="shared" si="5"/>
        <v>0</v>
      </c>
      <c r="AG18" s="932">
        <f t="shared" si="5"/>
        <v>0</v>
      </c>
      <c r="AH18" s="932">
        <f t="shared" si="5"/>
        <v>0</v>
      </c>
      <c r="AI18" s="932">
        <f t="shared" si="5"/>
        <v>0</v>
      </c>
      <c r="AJ18" s="932">
        <f t="shared" si="5"/>
        <v>563</v>
      </c>
      <c r="AK18" s="932">
        <f t="shared" si="5"/>
        <v>1066</v>
      </c>
      <c r="AL18" s="932">
        <f t="shared" si="5"/>
        <v>0</v>
      </c>
      <c r="AM18" s="932">
        <f t="shared" si="5"/>
        <v>0</v>
      </c>
      <c r="AN18" s="932">
        <f t="shared" si="5"/>
        <v>0</v>
      </c>
      <c r="AO18" s="934">
        <f>IF(ISNUMBER(((NºAsuntos!I18/NºAsuntos!G18)*11)/factor_trimestre),((NºAsuntos!I18/NºAsuntos!G18)*11)/factor_trimestre," - ")</f>
        <v>3.1383720930232557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11</v>
      </c>
      <c r="F19" s="820">
        <f t="shared" si="7"/>
        <v>2354</v>
      </c>
      <c r="G19" s="820">
        <f t="shared" si="7"/>
        <v>2752</v>
      </c>
      <c r="H19" s="821">
        <f t="shared" si="7"/>
        <v>0</v>
      </c>
      <c r="I19" s="820">
        <f t="shared" si="7"/>
        <v>0</v>
      </c>
      <c r="J19" s="822">
        <f t="shared" si="7"/>
        <v>0</v>
      </c>
      <c r="K19" s="820">
        <f t="shared" si="7"/>
        <v>0</v>
      </c>
      <c r="L19" s="823">
        <f t="shared" si="7"/>
        <v>0</v>
      </c>
      <c r="M19" s="820">
        <f t="shared" si="7"/>
        <v>0</v>
      </c>
      <c r="N19" s="821">
        <f t="shared" si="7"/>
        <v>982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2668</v>
      </c>
      <c r="Z19" s="827">
        <f t="shared" si="8"/>
        <v>883</v>
      </c>
      <c r="AA19" s="828">
        <f t="shared" si="8"/>
        <v>2818</v>
      </c>
      <c r="AB19" s="828">
        <f t="shared" si="8"/>
        <v>0</v>
      </c>
      <c r="AC19" s="828">
        <f t="shared" si="8"/>
        <v>0</v>
      </c>
      <c r="AD19" s="829">
        <f t="shared" si="8"/>
        <v>0</v>
      </c>
      <c r="AE19" s="829">
        <f t="shared" si="8"/>
        <v>10400</v>
      </c>
      <c r="AF19" s="830">
        <f t="shared" si="8"/>
        <v>0</v>
      </c>
      <c r="AG19" s="831">
        <f t="shared" si="8"/>
        <v>0</v>
      </c>
      <c r="AH19" s="832">
        <f t="shared" si="8"/>
        <v>0</v>
      </c>
      <c r="AI19" s="830">
        <f t="shared" si="8"/>
        <v>0</v>
      </c>
      <c r="AJ19" s="820">
        <f t="shared" si="8"/>
        <v>1215</v>
      </c>
      <c r="AK19" s="820">
        <f t="shared" si="8"/>
        <v>2341</v>
      </c>
      <c r="AL19" s="820">
        <f t="shared" si="8"/>
        <v>0</v>
      </c>
      <c r="AM19" s="833">
        <f t="shared" si="8"/>
        <v>0</v>
      </c>
      <c r="AN19" s="823">
        <f>IF(ISNUMBER(Datos!K19/Datos!J19),Datos!K19/Datos!J19," - ")</f>
        <v>0.89981352771656209</v>
      </c>
      <c r="AO19" s="823">
        <f>IF(ISNUMBER(FIND("06",Criterios!A8,1)),(IF(ISNUMBER(((Datos!R19/Datos!Q19)*11)/factor_trimestre),((Datos!R19/Datos!Q19)*11)/factor_trimestre," - ")),(IF(ISNUMBER(((Datos!L19/Datos!K19)*11)/factor_trimestre),((Datos!L19/Datos!K19)*11)/factor_trimestre," - ")))</f>
        <v>4.68594574227581</v>
      </c>
      <c r="AP19" s="834" t="str">
        <f>IF(ISNUMBER(Datos!CI19/Datos!CJ19),Datos!CI19/Datos!CJ19," - ")</f>
        <v xml:space="preserve"> - </v>
      </c>
      <c r="AQ19" s="834">
        <f>IF(OR(ISNUMBER(FIND("01",Criterios!A8,1)),ISNUMBER(FIND("02",Criterios!A8,1)),ISNUMBER(FIND("03",Criterios!A8,1)),ISNUMBER(FIND("04",Criterios!A8,1))),(J19-Y19+K19)/(F19-K19),(I19-Y19+K19)/(F19-K19))</f>
        <v>-1.1333899745114699</v>
      </c>
      <c r="AR19" s="834">
        <f>IF(ISNUMBER((Datos!P19-Datos!Q19+O19)/(Datos!R19-Datos!P19+Datos!Q19-O19)),(Datos!P19-Datos!Q19+O19)/(Datos!R19-Datos!P19+Datos!Q19-O19)," - ")</f>
        <v>9.6107174060770795E-3</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1100.8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1236.6842766041784</v>
      </c>
      <c r="G21" s="552">
        <f>IF(ISNUMBER(STDEV(G8:G18)),STDEV(G8:G18),"-")</f>
        <v>1242.6677753929246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283.99154917004131</v>
      </c>
      <c r="AK21" s="252"/>
      <c r="AL21" s="252">
        <f>IF(ISNUMBER(STDEV(AL8:AL18)),STDEV(AL8:AL18),"-")</f>
        <v>0</v>
      </c>
      <c r="AM21" s="254">
        <f>IF(ISNUMBER(STDEV(AM8:AM18)),STDEV(AM8:AM18),"-")</f>
        <v>0</v>
      </c>
      <c r="AN21" s="539">
        <f>IF(ISNUMBER(STDEV(AN8:AN18)),STDEV(AN8:AN18),"-")</f>
        <v>0</v>
      </c>
      <c r="AO21" s="540">
        <f>IF(ISNUMBER(STDEV(AO8:AO18)),STDEV(AO8:AO18),"-")</f>
        <v>1.2934146038180896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qCWLi/44JL4ks3VVcRrc9xc824+x8WKq9009KKFxGUevdjBiVWPCFFIfFr5rfp5xcqoGV1FWHls+AD6OPc4gzg==" saltValue="ktR5yY8vizmOXSv4g/myl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tPaRlL5CUEgblK+szvjkY8pbubZ9ZfkodDAwtn43Uqbeg1v2HuDmLkVlCbt/p8S1iNbdwHzHTnlKfFD9QVugsg==" saltValue="yhrk6tOQA6NXfWCqetD6C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aNYwrkMlG+EIcEEMlMBLhGGecj4TYNfLUiWSK4WR11AOJ8EXhbhSVuBTUv6OiMNatRT+PaZ3WGLoqGFspLuww==" saltValue="ICw+3sc1d+q8Zo1leahZr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COMUNIDAD VALENCIANA</v>
      </c>
    </row>
    <row r="2" spans="1:75" ht="16.5" customHeight="1">
      <c r="C2" s="488" t="str">
        <f>Criterios!A10 &amp;"  "&amp;Criterios!B10 &amp; "  " &amp; IF(NOT(ISBLANK(Criterios!A11)),Criterios!A11 &amp;"  "&amp;Criterios!B11,"")</f>
        <v>Provincias  VALENCIA  Resumenes por Partidos Judiciales  TORRENT</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0.21864520456069753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0.15460550681878907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v1dCOIyWxzsVXKTNSHsKbHHCS9rmiRXskSry0sMGNykk4CyAAddjSS940q4dwEV1yshMQ4kiVOWfa+0Lueyxkw==" saltValue="d4jot9Tkowd9XcElXkIMq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Zb8WfD7Ai32Xv9Emmvr8s2ka79u8B0CYtR+NMQFH2r23QzysJFPTgIk0XxRtCgeHTsD/5m8FVATTxs47kCK/zQ==" saltValue="R/vBa7flAMpjQ+eIeOkyS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COMUNIDAD VALENCIANA</v>
      </c>
      <c r="C2" s="375"/>
      <c r="D2" s="375"/>
      <c r="E2" s="375"/>
      <c r="F2" s="375"/>
    </row>
    <row r="3" spans="1:14" ht="19.5">
      <c r="A3" s="390" t="s">
        <v>115</v>
      </c>
      <c r="B3" s="391" t="str">
        <f>Criterios!A10 &amp;"  "&amp;Criterios!B10</f>
        <v>Provincias  VALENCIA</v>
      </c>
      <c r="D3" s="375"/>
      <c r="E3" s="375"/>
      <c r="F3" s="375"/>
    </row>
    <row r="4" spans="1:14" ht="13.5" thickBot="1">
      <c r="A4" s="375"/>
      <c r="B4" s="391" t="str">
        <f>Criterios!A11 &amp;"  "&amp;Criterios!B11</f>
        <v>Resumenes por Partidos Judiciales  TORRENT</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6</v>
      </c>
      <c r="C9" s="403">
        <f>IF(ISNUMBER(IF(J_V="SI",Datos!I9,Datos!I9+Datos!Y9)),IF(J_V="SI",Datos!I9,Datos!I9+Datos!Y9)," - ")</f>
        <v>5217</v>
      </c>
      <c r="D9" s="404">
        <f>IF(ISNUMBER(C9/Datos!BH9),C9/Datos!BH9," - ")</f>
        <v>869.5</v>
      </c>
      <c r="E9" s="403">
        <f>IF(ISNUMBER(IF(J_V="SI",Datos!J9,Datos!J9+Datos!Z9)),IF(J_V="SI",Datos!J9,Datos!J9+Datos!Z9)," - ")</f>
        <v>3404</v>
      </c>
      <c r="F9" s="404">
        <f>IF(ISNUMBER(E9/B9),E9/B9," - ")</f>
        <v>567.33333333333337</v>
      </c>
      <c r="G9" s="403">
        <f>IF(ISNUMBER(IF(J_V="SI",Datos!K9,Datos!K9+Datos!AA9)),IF(J_V="SI",Datos!K9,Datos!K9+Datos!AA9)," - ")</f>
        <v>2894</v>
      </c>
      <c r="H9" s="404">
        <f>IF(ISNUMBER(G9/B9),G9/B9," - ")</f>
        <v>482.33333333333331</v>
      </c>
      <c r="I9" s="403">
        <f>IF(ISNUMBER(IF(J_V="SI",Datos!L9,Datos!L9+Datos!AB9)),IF(J_V="SI",Datos!L9,Datos!L9+Datos!AB9)," - ")</f>
        <v>5727</v>
      </c>
      <c r="J9" s="404">
        <f>IF(ISNUMBER(I9/B9),I9/B9," - ")</f>
        <v>954.5</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106</v>
      </c>
      <c r="D10" s="404">
        <f>IF(ISNUMBER(C10/Datos!BH10),C10/Datos!BH10," - ")</f>
        <v>106</v>
      </c>
      <c r="E10" s="403">
        <f>IF(ISNUMBER(Datos!J10),Datos!J10," - ")</f>
        <v>101</v>
      </c>
      <c r="F10" s="404">
        <f>IF(ISNUMBER(E10/B10),E10/B10," - ")</f>
        <v>101</v>
      </c>
      <c r="G10" s="403">
        <f>IF(ISNUMBER(Datos!K10),Datos!K10," - ")</f>
        <v>88</v>
      </c>
      <c r="H10" s="404">
        <f>IF(ISNUMBER(G10/B10),G10/B10," - ")</f>
        <v>88</v>
      </c>
      <c r="I10" s="403">
        <f>IF(ISNUMBER(Datos!L10),Datos!L10," - ")</f>
        <v>119</v>
      </c>
      <c r="J10" s="404">
        <f>IF(ISNUMBER(I10/B10),I10/B10," - ")</f>
        <v>119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7</v>
      </c>
      <c r="C13" s="849">
        <f>SUBTOTAL(9,C8:C12)</f>
        <v>5323</v>
      </c>
      <c r="D13" s="850" t="str">
        <f>IF(ISNUMBER(C13/Datos!BI13),C13/Datos!BI13," - ")</f>
        <v xml:space="preserve"> - </v>
      </c>
      <c r="E13" s="849">
        <f>SUBTOTAL(9,E8:E12)</f>
        <v>3505</v>
      </c>
      <c r="F13" s="850">
        <f>IF(ISNUMBER(E13/B13),E13/B13," - ")</f>
        <v>500.71428571428572</v>
      </c>
      <c r="G13" s="849">
        <f>SUBTOTAL(9,G8:G12)</f>
        <v>2982</v>
      </c>
      <c r="H13" s="850">
        <f>IF(ISNUMBER(G13/B13),G13/B13," - ")</f>
        <v>426</v>
      </c>
      <c r="I13" s="849">
        <f>SUBTOTAL(9,I8:I12)</f>
        <v>5846</v>
      </c>
      <c r="J13" s="850">
        <f>IF(ISNUMBER(I13/B13),I13/B13," - ")</f>
        <v>835.14285714285711</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3</v>
      </c>
      <c r="C15" s="403">
        <f>IF(ISNUMBER(IF(D_I="SI",Datos!I15,Datos!I15+Datos!AC15)),IF(D_I="SI",Datos!I15,Datos!I15+Datos!AC15)," - ")</f>
        <v>2248</v>
      </c>
      <c r="D15" s="404">
        <f>IF(ISNUMBER(C15/Datos!BH15),C15/Datos!BH15," - ")</f>
        <v>749.33333333333337</v>
      </c>
      <c r="E15" s="403">
        <f>IF(ISNUMBER(IF(D_I="SI",Datos!J15,Datos!J15+Datos!AD15)),IF(D_I="SI",Datos!J15,Datos!J15+Datos!AD15)," - ")</f>
        <v>2257</v>
      </c>
      <c r="F15" s="404">
        <f>IF(ISNUMBER(E15/B15),E15/B15," - ")</f>
        <v>752.33333333333337</v>
      </c>
      <c r="G15" s="403">
        <f>IF(ISNUMBER(IF(D_I="SI",Datos!K15,Datos!K15+Datos!AE15)),IF(D_I="SI",Datos!K15,Datos!K15+Datos!AE15)," - ")</f>
        <v>2270</v>
      </c>
      <c r="H15" s="404">
        <f>IF(ISNUMBER(G15/B15),G15/B15," - ")</f>
        <v>756.66666666666663</v>
      </c>
      <c r="I15" s="403">
        <f>IF(ISNUMBER(IF(D_I="SI",Datos!L15,Datos!L15+Datos!AF15)),IF(D_I="SI",Datos!L15,Datos!L15+Datos!AF15)," - ")</f>
        <v>2235</v>
      </c>
      <c r="J15" s="404">
        <f>IF(ISNUMBER(I15/B15),I15/B15," - ")</f>
        <v>745</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398</v>
      </c>
      <c r="D17" s="404">
        <f>IF(ISNUMBER(C17/Datos!BH17),C17/Datos!BH17," - ")</f>
        <v>398</v>
      </c>
      <c r="E17" s="403">
        <f>IF(ISNUMBER(IF(D_I="SI",Datos!J17,Datos!J17+Datos!AD17)),IF(D_I="SI",Datos!J17,Datos!J17+Datos!AD17)," - ")</f>
        <v>373</v>
      </c>
      <c r="F17" s="404">
        <f>IF(ISNUMBER(E17/B17),E17/B17," - ")</f>
        <v>373</v>
      </c>
      <c r="G17" s="403">
        <f>IF(ISNUMBER(IF(D_I="SI",Datos!K17,Datos!K17+Datos!AE17)),IF(D_I="SI",Datos!K17,Datos!K17+Datos!AE17)," - ")</f>
        <v>310</v>
      </c>
      <c r="H17" s="404">
        <f>IF(ISNUMBER(G17/B17),G17/B17," - ")</f>
        <v>310</v>
      </c>
      <c r="I17" s="403">
        <f>IF(ISNUMBER(IF(D_I="SI",Datos!L17,Datos!L17+Datos!AF17)),IF(D_I="SI",Datos!L17,Datos!L17+Datos!AF17)," - ")</f>
        <v>464</v>
      </c>
      <c r="J17" s="404">
        <f>IF(ISNUMBER(I17/B17),I17/B17," - ")</f>
        <v>464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4</v>
      </c>
      <c r="C18" s="849">
        <f>SUBTOTAL(9,C14:C17)</f>
        <v>2646</v>
      </c>
      <c r="D18" s="850" t="str">
        <f>IF(ISNUMBER(C18/Datos!BI18),C18/Datos!BI18," - ")</f>
        <v xml:space="preserve"> - </v>
      </c>
      <c r="E18" s="849">
        <f>SUBTOTAL(9,E14:E17)</f>
        <v>2630</v>
      </c>
      <c r="F18" s="850">
        <f>IF(ISNUMBER(E18/B18),E18/B18," - ")</f>
        <v>657.5</v>
      </c>
      <c r="G18" s="849">
        <f>SUBTOTAL(9,G14:G17)</f>
        <v>2580</v>
      </c>
      <c r="H18" s="850">
        <f>IF(ISNUMBER(G18/B18),G18/B18," - ")</f>
        <v>645</v>
      </c>
      <c r="I18" s="849">
        <f>SUBTOTAL(9,I14:I17)</f>
        <v>2699</v>
      </c>
      <c r="J18" s="850">
        <f>IF(ISNUMBER(I18/B18),I18/B18," - ")</f>
        <v>674.75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10</v>
      </c>
      <c r="C19" s="794">
        <f>SUBTOTAL(9,C9:C18)</f>
        <v>7969</v>
      </c>
      <c r="D19" s="795" t="str">
        <f>IF(ISNUMBER(C19/Datos!BI19),C19/Datos!BI19," - ")</f>
        <v xml:space="preserve"> - </v>
      </c>
      <c r="E19" s="794">
        <f>SUBTOTAL(9,E9:E18)</f>
        <v>6135</v>
      </c>
      <c r="F19" s="795">
        <f>IF(ISNUMBER(E19/B19),E19/B19," - ")</f>
        <v>613.5</v>
      </c>
      <c r="G19" s="794">
        <f>SUBTOTAL(9,G9:G18)</f>
        <v>5562</v>
      </c>
      <c r="H19" s="795">
        <f>IF(ISNUMBER(G19/B19),G19/B19," - ")</f>
        <v>556.20000000000005</v>
      </c>
      <c r="I19" s="794">
        <f>SUBTOTAL(9,I9:I18)</f>
        <v>8545</v>
      </c>
      <c r="J19" s="795">
        <f>IF(ISNUMBER(I19/B19),I19/B19," - ")</f>
        <v>854.5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JHAlE1fWr1q3rl5991SbQksXHj/tjge/Ysbr87hH7Ohx4ng1gBipfdUvnWPXw7oi4R1XyDc2SRvnNfbOd3dIvQ==" saltValue="YC0UAvCEKPs0G7wMOC5i7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COMUNIDAD VALENCIANA</v>
      </c>
      <c r="W1"/>
      <c r="X1"/>
    </row>
    <row r="2" spans="1:65" ht="16.5" customHeight="1">
      <c r="C2" s="488" t="str">
        <f>Criterios!A10 &amp;"  "&amp;Criterios!B10 &amp; "  " &amp; IF(NOT(ISBLANK(Criterios!A11)),Criterios!A11 &amp;"  "&amp;Criterios!B11,"")</f>
        <v>Provincias  VALENCIA  Resumenes por Partidos Judiciales  TORRENT</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6</v>
      </c>
      <c r="B9" s="501" t="s">
        <v>246</v>
      </c>
      <c r="C9" s="160" t="str">
        <f>Datos!A9</f>
        <v xml:space="preserve">Jdos. 1ª Instancia   </v>
      </c>
      <c r="D9" s="502"/>
      <c r="E9" s="682">
        <f>IF(ISNUMBER(Datos!AQ9),Datos!AQ9," - ")</f>
        <v>6</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1</v>
      </c>
      <c r="F10" s="683">
        <f>IF(ISNUMBER(Datos!L10+Datos!K10-Datos!J10),Datos!L10+Datos!K10-Datos!J10," - ")</f>
        <v>106</v>
      </c>
      <c r="G10" s="684">
        <f>IF(ISNUMBER(Datos!I10),Datos!I10," - ")</f>
        <v>106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13</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88</v>
      </c>
      <c r="AC10" s="683" t="str">
        <f>IF(ISNUMBER(IF(D_I="SI",DatosP!K17,DatosP!K17+DatosP!AE17)),IF(D_I="SI",DatosP!K17,DatosP!K17+DatosP!AE17)," - ")</f>
        <v xml:space="preserve"> - </v>
      </c>
      <c r="AD10" s="685"/>
      <c r="AE10" s="685"/>
      <c r="AF10" s="688">
        <f>IF(ISNUMBER(Datos!L10),Datos!L10,"-")</f>
        <v>119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22</v>
      </c>
      <c r="AM10" s="690">
        <f>IF(ISNUMBER(Datos!N10+DatosP!N17),Datos!N10+DatosP!N17," - ")</f>
        <v>37</v>
      </c>
      <c r="AN10" s="690">
        <f>IF(ISNUMBER(Datos!BW10+DatosP!BW17),Datos!BW10+DatosP!BW17," - ")</f>
        <v>0</v>
      </c>
      <c r="AO10" s="691">
        <f>IF(ISNUMBER(Datos!BX10+DatosP!BX17),Datos!BX10+DatosP!BX17," - ")</f>
        <v>0</v>
      </c>
      <c r="AP10" s="693">
        <f>IF(ISNUMBER(((Datos!L10/Datos!K10)*11)/factor_trimestre),((Datos!L10/Datos!K10)*11)/factor_trimestre," - ")</f>
        <v>4.0568181818181817</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7</v>
      </c>
      <c r="F13" s="938">
        <f t="shared" si="0"/>
        <v>106</v>
      </c>
      <c r="G13" s="938">
        <f t="shared" si="0"/>
        <v>106</v>
      </c>
      <c r="H13" s="938">
        <f t="shared" si="0"/>
        <v>0</v>
      </c>
      <c r="I13" s="940">
        <f t="shared" si="0"/>
        <v>0</v>
      </c>
      <c r="J13" s="939">
        <f t="shared" si="0"/>
        <v>0</v>
      </c>
      <c r="K13" s="939">
        <f t="shared" si="0"/>
        <v>0</v>
      </c>
      <c r="L13" s="941">
        <f t="shared" si="0"/>
        <v>0</v>
      </c>
      <c r="M13" s="941">
        <f t="shared" si="0"/>
        <v>0</v>
      </c>
      <c r="N13" s="939">
        <f t="shared" si="0"/>
        <v>13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88</v>
      </c>
      <c r="AC13" s="939">
        <f t="shared" si="1"/>
        <v>0</v>
      </c>
      <c r="AD13" s="939">
        <f t="shared" si="1"/>
        <v>0</v>
      </c>
      <c r="AE13" s="939">
        <f t="shared" si="1"/>
        <v>0</v>
      </c>
      <c r="AF13" s="939">
        <f t="shared" si="1"/>
        <v>119</v>
      </c>
      <c r="AG13" s="939">
        <f t="shared" si="1"/>
        <v>0</v>
      </c>
      <c r="AH13" s="939">
        <f t="shared" si="1"/>
        <v>0</v>
      </c>
      <c r="AI13" s="939">
        <f t="shared" si="1"/>
        <v>0</v>
      </c>
      <c r="AJ13" s="939">
        <f t="shared" si="1"/>
        <v>0</v>
      </c>
      <c r="AK13" s="939">
        <f t="shared" si="1"/>
        <v>0</v>
      </c>
      <c r="AL13" s="939">
        <f t="shared" si="1"/>
        <v>22</v>
      </c>
      <c r="AM13" s="939">
        <f t="shared" si="1"/>
        <v>37</v>
      </c>
      <c r="AN13" s="939">
        <f t="shared" si="1"/>
        <v>0</v>
      </c>
      <c r="AO13" s="939">
        <f t="shared" si="1"/>
        <v>0</v>
      </c>
      <c r="AP13" s="944">
        <f>IF(ISNUMBER(((Datos!L13/Datos!K13)*11)/factor_trimestre),((Datos!L13/Datos!K13)*11)/factor_trimestre," - ")</f>
        <v>6.1495601173020527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-0.83018867924528306</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3</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3.1383720930232557</v>
      </c>
      <c r="AQ18" s="944">
        <f>IF(ISNUMBER(((Datos!M18/Datos!L18)*11)/factor_trimestre),((Datos!M18/Datos!L18)*11)/factor_trimestre," - ")</f>
        <v>0.62578732864023723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2.2271714922048997E-3</v>
      </c>
      <c r="AW18" s="946">
        <f>IF(ISNUMBER((Datos!Q18-Datos!R18)/(Datos!S18-Datos!Q18+Datos!R18)),(Datos!Q18-Datos!R18)/(Datos!S18-Datos!Q18+Datos!R18)," - ")</f>
        <v>-7.6498712762044868E-2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7</v>
      </c>
      <c r="F19" s="951">
        <f t="shared" si="4"/>
        <v>106</v>
      </c>
      <c r="G19" s="951">
        <f t="shared" si="4"/>
        <v>106</v>
      </c>
      <c r="H19" s="951">
        <f t="shared" si="4"/>
        <v>0</v>
      </c>
      <c r="I19" s="952">
        <f t="shared" si="4"/>
        <v>0</v>
      </c>
      <c r="J19" s="953">
        <f t="shared" si="4"/>
        <v>0</v>
      </c>
      <c r="K19" s="953">
        <f t="shared" si="4"/>
        <v>0</v>
      </c>
      <c r="L19" s="953">
        <f t="shared" si="4"/>
        <v>0</v>
      </c>
      <c r="M19" s="953">
        <f t="shared" si="4"/>
        <v>0</v>
      </c>
      <c r="N19" s="952">
        <f t="shared" si="4"/>
        <v>13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88</v>
      </c>
      <c r="AC19" s="957">
        <f t="shared" si="5"/>
        <v>0</v>
      </c>
      <c r="AD19" s="957">
        <f t="shared" si="5"/>
        <v>0</v>
      </c>
      <c r="AE19" s="957">
        <f t="shared" si="5"/>
        <v>0</v>
      </c>
      <c r="AF19" s="958">
        <f t="shared" si="5"/>
        <v>119</v>
      </c>
      <c r="AG19" s="958">
        <f t="shared" si="5"/>
        <v>0</v>
      </c>
      <c r="AH19" s="958">
        <f t="shared" si="5"/>
        <v>0</v>
      </c>
      <c r="AI19" s="958">
        <f t="shared" si="5"/>
        <v>0</v>
      </c>
      <c r="AJ19" s="959">
        <f t="shared" si="5"/>
        <v>0</v>
      </c>
      <c r="AK19" s="959">
        <f t="shared" si="5"/>
        <v>0</v>
      </c>
      <c r="AL19" s="951">
        <f t="shared" si="5"/>
        <v>22</v>
      </c>
      <c r="AM19" s="951">
        <f t="shared" si="5"/>
        <v>37</v>
      </c>
      <c r="AN19" s="951">
        <f t="shared" si="5"/>
        <v>0</v>
      </c>
      <c r="AO19" s="951">
        <f t="shared" si="5"/>
        <v>0</v>
      </c>
      <c r="AP19" s="951">
        <f>IF(ISNUMBER(((Datos!L19/Datos!K19)*11)/factor_trimestre),((Datos!L19/Datos!K19)*11)/factor_trimestre," - ")</f>
        <v>4.68594574227581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-0.83018867924528306</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9.6107174060770795E-3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70.666666666666671</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3.2659863237109041</v>
      </c>
      <c r="F21" s="736">
        <f>IF(ISNUMBER(STDEV(F8:F18)),STDEV(F8:F18),"-")</f>
        <v>61.199128534100332</v>
      </c>
      <c r="G21" s="737">
        <f>IF(ISNUMBER(STDEV(G8:G18)),STDEV(G8:G18),"-")</f>
        <v>61.199128534100332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50.806823688687061</v>
      </c>
      <c r="AC21" s="738">
        <f>IF(ISNUMBER(STDEV(AC8:AC18)),STDEV(AC8:AC18),"-")</f>
        <v>0</v>
      </c>
      <c r="AD21" s="741"/>
      <c r="AE21" s="741"/>
      <c r="AF21" s="741"/>
      <c r="AG21" s="741"/>
      <c r="AH21" s="741"/>
      <c r="AI21" s="741"/>
      <c r="AJ21" s="742">
        <f>IF(ISNUMBER(STDEV(AJ8:AJ18)),STDEV(AJ8:AJ18),"-")</f>
        <v>0</v>
      </c>
      <c r="AK21" s="744"/>
      <c r="AL21" s="736">
        <f>IF(ISNUMBER(STDEV(AL8:AL18)),STDEV(AL8:AL18),"-")</f>
        <v>12.701705922171765</v>
      </c>
      <c r="AM21" s="736"/>
      <c r="AN21" s="736">
        <f>IF(ISNUMBER(STDEV(AN8:AN18)),STDEV(AN8:AN18),"-")</f>
        <v>0</v>
      </c>
      <c r="AO21" s="742">
        <f>IF(ISNUMBER(STDEV(AO8:AO18)),STDEV(AO8:AO18),"-")</f>
        <v>0</v>
      </c>
      <c r="AP21" s="779">
        <f>IF(ISNUMBER(STDEV(AP8:AP18)),STDEV(AP8:AP18),"-")</f>
        <v>1.5432846650416077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FH6uJWe4xjTpAvFkMkpCyFBhOI22KMFV5qJcveAMtgnT3/KB2KBsuF/7S2rjpuWq/po4JxrAhZ7b7rk/DVqlHg==" saltValue="YvLA4LZwRFqTD37maP6g5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TORRENT</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6</v>
      </c>
      <c r="D9" s="403">
        <f>Datos!BK9</f>
        <v>0</v>
      </c>
      <c r="E9" s="403">
        <f>Datos!AQ9</f>
        <v>6</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3</v>
      </c>
      <c r="D15" s="403">
        <f>Datos!BK15</f>
        <v>0</v>
      </c>
      <c r="E15" s="403">
        <f>Datos!AQ15</f>
        <v>3</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KF410Eu8v8OCzH2fGogjoKfmFKkSmXDnmRGjP7nS3BwKR3Q+o6Bof6H1jttar+sQvJTsDte25lrLzRQ4YKB2gA==" saltValue="yDS8tEtyPNUawN+7X//AS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COMUNIDAD VALENCIANA</v>
      </c>
      <c r="C2" s="391"/>
    </row>
    <row r="3" spans="1:9" ht="19.5">
      <c r="A3" s="425" t="s">
        <v>11</v>
      </c>
      <c r="B3" s="391" t="str">
        <f>Criterios!A10 &amp;"  "&amp;Criterios!B10</f>
        <v>Provincias  VALENCIA</v>
      </c>
      <c r="C3" s="391"/>
      <c r="D3" s="425"/>
    </row>
    <row r="4" spans="1:9" ht="13.5" thickBot="1">
      <c r="B4" s="391" t="str">
        <f>Criterios!A11 &amp;"  "&amp;Criterios!B11</f>
        <v>Resumenes por Partidos Judiciales  TORRENT</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6</v>
      </c>
      <c r="C9" s="410">
        <f>Datos!AQ9</f>
        <v>6</v>
      </c>
      <c r="D9" s="403">
        <f>IF(ISNUMBER(Datos!M9),Datos!M9," - ")</f>
        <v>630</v>
      </c>
      <c r="E9" s="404">
        <f t="shared" ref="E9:E13" si="0">IF(ISNUMBER(D9/B9),D9/B9," - ")</f>
        <v>105</v>
      </c>
      <c r="F9" s="403">
        <f>IF(ISNUMBER(Datos!N9),Datos!N9," - ")</f>
        <v>1238</v>
      </c>
      <c r="G9" s="404">
        <f t="shared" ref="G9:G13" si="1">IF(ISNUMBER(F9/B9),F9/B9," - ")</f>
        <v>206.33333333333334</v>
      </c>
      <c r="H9" s="403">
        <f>IF(ISNUMBER(Datos!O9),Datos!O9," - ")</f>
        <v>1506</v>
      </c>
      <c r="I9" s="404">
        <f>IF(ISNUMBER(H9/B9),H9/B9," - ")</f>
        <v>251</v>
      </c>
    </row>
    <row r="10" spans="1:9">
      <c r="A10" s="402" t="str">
        <f>Datos!A10</f>
        <v>Jdos. Violencia contra la mujer</v>
      </c>
      <c r="B10" s="427">
        <f>Datos!AO10</f>
        <v>1</v>
      </c>
      <c r="C10" s="410">
        <f>Datos!AQ10</f>
        <v>1</v>
      </c>
      <c r="D10" s="403">
        <f>IF(ISNUMBER(Datos!M10),Datos!M10," - ")</f>
        <v>22</v>
      </c>
      <c r="E10" s="404">
        <f>IF(ISNUMBER(D10/B10),D10/B10," - ")</f>
        <v>22</v>
      </c>
      <c r="F10" s="403">
        <f>IF(ISNUMBER(Datos!N10),Datos!N10," - ")</f>
        <v>37</v>
      </c>
      <c r="G10" s="404">
        <f>IF(ISNUMBER(F10/B10),F10/B10," - ")</f>
        <v>37</v>
      </c>
      <c r="H10" s="403">
        <f>IF(ISNUMBER(Datos!O10),Datos!O10," - ")</f>
        <v>20</v>
      </c>
      <c r="I10" s="404">
        <f t="shared" ref="I10:I12" si="2">IF(ISNUMBER(H10/B10),H10/B10," - ")</f>
        <v>20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row>
    <row r="13" spans="1:9" ht="14.25" thickTop="1" thickBot="1">
      <c r="A13" s="848" t="str">
        <f>Datos!A13</f>
        <v>TOTAL</v>
      </c>
      <c r="B13" s="849">
        <f>Datos!AO13</f>
        <v>7</v>
      </c>
      <c r="C13" s="851">
        <f>Datos!AR13</f>
        <v>7</v>
      </c>
      <c r="D13" s="849">
        <f>SUBTOTAL(9,D9:D12)</f>
        <v>652</v>
      </c>
      <c r="E13" s="850">
        <f t="shared" si="0"/>
        <v>93.142857142857139</v>
      </c>
      <c r="F13" s="849">
        <f>SUBTOTAL(9,F9:F12)</f>
        <v>1275</v>
      </c>
      <c r="G13" s="850">
        <f t="shared" si="1"/>
        <v>182.14285714285714</v>
      </c>
      <c r="H13" s="849">
        <f>SUBTOTAL(9,H9:H12)</f>
        <v>1526</v>
      </c>
      <c r="I13" s="850">
        <f>IF(ISNUMBER(H13/B13),H13/B13," - ")</f>
        <v>218</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3</v>
      </c>
      <c r="C15" s="428">
        <f>Datos!AQ15</f>
        <v>3</v>
      </c>
      <c r="D15" s="403">
        <f>IF(ISNUMBER(Datos!M15),Datos!M15," - ")</f>
        <v>493</v>
      </c>
      <c r="E15" s="404">
        <f t="shared" ref="E15:E18" si="3">IF(ISNUMBER(D15/B15),D15/B15," - ")</f>
        <v>164.33333333333334</v>
      </c>
      <c r="F15" s="403">
        <f>IF(ISNUMBER(Datos!N15),Datos!N15," - ")</f>
        <v>936</v>
      </c>
      <c r="G15" s="404">
        <f t="shared" ref="G15:G18" si="4">IF(ISNUMBER(F15/B15),F15/B15," - ")</f>
        <v>312</v>
      </c>
      <c r="H15" s="403">
        <f>IF(ISNUMBER(Datos!O15),Datos!O15," - ")</f>
        <v>101</v>
      </c>
      <c r="I15" s="404">
        <f t="shared" ref="I15:I17" si="5">IF(ISNUMBER(H15/B15),H15/B15," - ")</f>
        <v>33.666666666666664</v>
      </c>
    </row>
    <row r="16" spans="1:9">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row>
    <row r="17" spans="1:9" ht="13.5" thickBot="1">
      <c r="A17" s="402" t="str">
        <f>Datos!A17</f>
        <v>Jdos. Violencia contra la mujer</v>
      </c>
      <c r="B17" s="427">
        <f>Datos!AO17</f>
        <v>1</v>
      </c>
      <c r="C17" s="428">
        <f>Datos!AQ17</f>
        <v>1</v>
      </c>
      <c r="D17" s="403">
        <f>IF(ISNUMBER(Datos!M17),Datos!M17," - ")</f>
        <v>70</v>
      </c>
      <c r="E17" s="404">
        <f>IF(ISNUMBER(D17/B17),D17/B17," - ")</f>
        <v>70</v>
      </c>
      <c r="F17" s="403">
        <f>IF(ISNUMBER(Datos!N17),Datos!N17," - ")</f>
        <v>130</v>
      </c>
      <c r="G17" s="404">
        <f>IF(ISNUMBER(F17/B17),F17/B17," - ")</f>
        <v>130</v>
      </c>
      <c r="H17" s="403">
        <f>IF(ISNUMBER(Datos!O17),Datos!O17," - ")</f>
        <v>7</v>
      </c>
      <c r="I17" s="404">
        <f t="shared" si="5"/>
        <v>7</v>
      </c>
    </row>
    <row r="18" spans="1:9" ht="14.25" thickTop="1" thickBot="1">
      <c r="A18" s="848" t="str">
        <f>Datos!A18</f>
        <v>TOTAL</v>
      </c>
      <c r="B18" s="849">
        <f>Datos!AO18</f>
        <v>4</v>
      </c>
      <c r="C18" s="851">
        <f>Datos!AR18</f>
        <v>4</v>
      </c>
      <c r="D18" s="849">
        <f>SUBTOTAL(9,D15:D17)</f>
        <v>563</v>
      </c>
      <c r="E18" s="850">
        <f t="shared" si="3"/>
        <v>140.75</v>
      </c>
      <c r="F18" s="849">
        <f>SUBTOTAL(9,F15:F17)</f>
        <v>1066</v>
      </c>
      <c r="G18" s="850">
        <f t="shared" si="4"/>
        <v>266.5</v>
      </c>
      <c r="H18" s="849">
        <f>SUBTOTAL(9,H15:H17)</f>
        <v>108</v>
      </c>
      <c r="I18" s="850">
        <f>IF(ISNUMBER(H18/B18),H18/B18," - ")</f>
        <v>27</v>
      </c>
    </row>
    <row r="19" spans="1:9" ht="14.25" thickTop="1" thickBot="1">
      <c r="A19" s="793" t="str">
        <f>Datos!A19</f>
        <v>TOTAL JURISDICCIONES</v>
      </c>
      <c r="B19" s="794">
        <f>Datos!AP19</f>
        <v>10</v>
      </c>
      <c r="C19" s="794">
        <f>Datos!AR19</f>
        <v>10</v>
      </c>
      <c r="D19" s="794">
        <f>SUBTOTAL(9,D8:D18)</f>
        <v>1215</v>
      </c>
      <c r="E19" s="795">
        <f>IF(ISNUMBER(D19/B19),D19/B19," - ")</f>
        <v>121.5</v>
      </c>
      <c r="F19" s="794">
        <f>SUBTOTAL(9,F8:F18)</f>
        <v>2341</v>
      </c>
      <c r="G19" s="795">
        <f>IF(ISNUMBER(F19/B19),F19/B19," - ")</f>
        <v>234.1</v>
      </c>
      <c r="H19" s="794">
        <f>SUBTOTAL(9,H8:H18)</f>
        <v>1634</v>
      </c>
      <c r="I19" s="795">
        <f>IF(ISNUMBER(H19/B19),H19/B19," - ")</f>
        <v>163.4</v>
      </c>
    </row>
    <row r="22" spans="1:9">
      <c r="A22" s="391" t="str">
        <f>Criterios!A4</f>
        <v>Fecha Informe: 29 may. 2024</v>
      </c>
    </row>
    <row r="27" spans="1:9">
      <c r="A27" s="414"/>
    </row>
  </sheetData>
  <sheetProtection algorithmName="SHA-512" hashValue="bNvONMYCx9/hA1krIWnZ8c9jnCib0YYcAAS06V6kBU/iL+/H6UsbVsiu1sXDLgIEjuZK35I3ojg5UqrVHZnIOA==" saltValue="QAENuvVD1JcCci1opANxi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TORRENT</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f>IF(ISNUMBER(Datos!P9),Datos!P9," - ")</f>
        <v>726</v>
      </c>
      <c r="C9" s="434">
        <f>IF(ISNUMBER(Datos!Q9),Datos!Q9," - ")</f>
        <v>638</v>
      </c>
      <c r="D9" s="408">
        <f>IF(ISNUMBER(Datos!R9),Datos!R9," - ")</f>
        <v>9865</v>
      </c>
    </row>
    <row r="10" spans="1:4">
      <c r="A10" s="402" t="str">
        <f>Datos!A10</f>
        <v>Jdos. Violencia contra la mujer</v>
      </c>
      <c r="B10" s="433">
        <f>IF(ISNUMBER(Datos!P10),Datos!P10," - ")</f>
        <v>13</v>
      </c>
      <c r="C10" s="434">
        <f>IF(ISNUMBER(Datos!Q10),Datos!Q10," - ")</f>
        <v>3</v>
      </c>
      <c r="D10" s="408">
        <f>IF(ISNUMBER(Datos!R10),Datos!R10," - ")</f>
        <v>85</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739</v>
      </c>
      <c r="C13" s="853">
        <f>SUBTOTAL(9,C9:C12)</f>
        <v>641</v>
      </c>
      <c r="D13" s="851">
        <f>SUBTOTAL(9,D9:D12)</f>
        <v>9950</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232</v>
      </c>
      <c r="C15" s="434">
        <f>IF(ISNUMBER(Datos!Q15),Datos!Q15," - ")</f>
        <v>235</v>
      </c>
      <c r="D15" s="408">
        <f>IF(ISNUMBER(Datos!R15),Datos!R15," - ")</f>
        <v>434</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11</v>
      </c>
      <c r="C17" s="434">
        <f>IF(ISNUMBER(Datos!Q17),Datos!Q17," - ")</f>
        <v>7</v>
      </c>
      <c r="D17" s="408">
        <f>IF(ISNUMBER(Datos!R17),Datos!R17," - ")</f>
        <v>16</v>
      </c>
    </row>
    <row r="18" spans="1:4" ht="14.25" thickTop="1" thickBot="1">
      <c r="A18" s="848" t="str">
        <f>Datos!A18</f>
        <v>TOTAL</v>
      </c>
      <c r="B18" s="849">
        <f>SUBTOTAL(9,B15:B17)</f>
        <v>243</v>
      </c>
      <c r="C18" s="853">
        <f>SUBTOTAL(9,C15:C17)</f>
        <v>242</v>
      </c>
      <c r="D18" s="851">
        <f>SUBTOTAL(9,D15:D17)</f>
        <v>450</v>
      </c>
    </row>
    <row r="19" spans="1:4" ht="16.5" customHeight="1" thickTop="1" thickBot="1">
      <c r="A19" s="793" t="str">
        <f>Datos!A19</f>
        <v>TOTAL JURISDICCIONES</v>
      </c>
      <c r="B19" s="798">
        <f>SUBTOTAL(9,B8:B18)</f>
        <v>982</v>
      </c>
      <c r="C19" s="799">
        <f>SUBTOTAL(9,C8:C18)</f>
        <v>883</v>
      </c>
      <c r="D19" s="800">
        <f>SUBTOTAL(9,D8:D18)</f>
        <v>10400</v>
      </c>
    </row>
    <row r="20" spans="1:4" ht="7.5" customHeight="1"/>
    <row r="21" spans="1:4" ht="6" customHeight="1"/>
    <row r="22" spans="1:4">
      <c r="A22" s="391" t="str">
        <f>Criterios!A4</f>
        <v>Fecha Informe: 29 may. 2024</v>
      </c>
    </row>
    <row r="27" spans="1:4">
      <c r="A27" s="414"/>
    </row>
  </sheetData>
  <sheetProtection algorithmName="SHA-512" hashValue="XToaCNyZfcvjKTm//MfPq9UzNlZv+aDhheuvYNG4dSJ4UwoMVmr4mDAtKYflynWLSeR+a0a6jkzKs2gheZmKAg==" saltValue="kgJYMQdD0bSOuHQyQkrCT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TORRENT</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0.11832797427652733</v>
      </c>
      <c r="C9" s="456">
        <f>IF(ISNUMBER(
   IF(J_V="SI",(Datos!J9-Datos!T9)/Datos!T9,(Datos!J9+Datos!Z9-(Datos!T9+Datos!AH9))/(Datos!T9+Datos!AH9))
     ),IF(J_V="SI",(Datos!J9-Datos!T9)/Datos!T9,(Datos!J9+Datos!Z9-(Datos!T9+Datos!AH9))/(Datos!T9+Datos!AH9))," - ")</f>
        <v>0.4071930549813973</v>
      </c>
      <c r="D9" s="456">
        <f>IF(ISNUMBER(
   IF(J_V="SI",(Datos!K9-Datos!U9)/Datos!U9,(Datos!K9+Datos!AA9-(Datos!U9+Datos!AI9))/(Datos!U9+Datos!AI9))
     ),IF(J_V="SI",(Datos!K9-Datos!U9)/Datos!U9,(Datos!K9+Datos!AA9-(Datos!U9+Datos!AI9))/(Datos!U9+Datos!AI9))," - ")</f>
        <v>5.8522311631309436E-2</v>
      </c>
      <c r="E9" s="456">
        <f>IF(ISNUMBER(
   IF(J_V="SI",(Datos!L9-Datos!V9)/Datos!V9,(Datos!L9+Datos!AB9-(Datos!V9+Datos!AJ9))/(Datos!V9+Datos!AJ9))
     ),IF(J_V="SI",(Datos!L9-Datos!V9)/Datos!V9,(Datos!L9+Datos!AB9-(Datos!V9+Datos!AJ9))/(Datos!V9+Datos!AJ9))," - ")</f>
        <v>0.31655172413793103</v>
      </c>
      <c r="F9" s="456">
        <f>IF(ISNUMBER((Datos!M9-Datos!W9)/Datos!W9),(Datos!M9-Datos!W9)/Datos!W9," - ")</f>
        <v>0.15384615384615385</v>
      </c>
      <c r="G9" s="457">
        <f>IF(ISNUMBER((Datos!N9-Datos!X9)/Datos!X9),(Datos!N9-Datos!X9)/Datos!X9," - ")</f>
        <v>9.3639575971731448E-2</v>
      </c>
      <c r="H9" s="455">
        <f>IF(ISNUMBER(((NºAsuntos!G9/NºAsuntos!E9)-Datos!BD9)/Datos!BD9),((NºAsuntos!G9/NºAsuntos!E9)-Datos!BD9)/Datos!BD9," - ")</f>
        <v>-0.24777747595883154</v>
      </c>
      <c r="I9" s="456">
        <f>IF(ISNUMBER(((NºAsuntos!I9/NºAsuntos!G9)-Datos!BE9)/Datos!BE9),((NºAsuntos!I9/NºAsuntos!G9)-Datos!BE9)/Datos!BE9," - ")</f>
        <v>0.24376379191192241</v>
      </c>
      <c r="J9" s="461">
        <f>IF(ISNUMBER((('Resol  Asuntos'!D9/NºAsuntos!G9)-Datos!BF9)/Datos!BF9),(('Resol  Asuntos'!D9/NºAsuntos!G9)-Datos!BF9)/Datos!BF9," - ")</f>
        <v>-0.47423205315737937</v>
      </c>
      <c r="K9" s="462">
        <f>IF(ISNUMBER((((NºAsuntos!C9+NºAsuntos!E9)/NºAsuntos!G9)-Datos!BG9)/Datos!BG9),(((NºAsuntos!C9+NºAsuntos!E9)/NºAsuntos!G9)-Datos!BG9)/Datos!BG9," - ")</f>
        <v>0.149685558274543</v>
      </c>
    </row>
    <row r="10" spans="1:11">
      <c r="A10" s="402" t="str">
        <f>Datos!A10</f>
        <v>Jdos. Violencia contra la mujer</v>
      </c>
      <c r="B10" s="455">
        <f>IF(ISNUMBER((Datos!I10-Datos!S10)/Datos!S10),(Datos!I10-Datos!S10)/Datos!S10," - ")</f>
        <v>0.11578947368421053</v>
      </c>
      <c r="C10" s="456">
        <f>IF(ISNUMBER((Datos!J10-Datos!T10)/Datos!T10),(Datos!J10-Datos!T10)/Datos!T10," - ")</f>
        <v>1.4047619047619047</v>
      </c>
      <c r="D10" s="456">
        <f>IF(ISNUMBER((Datos!K10-Datos!U10)/Datos!U10),(Datos!K10-Datos!U10)/Datos!U10," - ")</f>
        <v>0.41935483870967744</v>
      </c>
      <c r="E10" s="456">
        <f>IF(ISNUMBER((Datos!L10-Datos!V10)/Datos!V10),(Datos!L10-Datos!V10)/Datos!V10," - ")</f>
        <v>0.58666666666666667</v>
      </c>
      <c r="F10" s="456">
        <f>IF(ISNUMBER((Datos!M10-Datos!W10)/Datos!W10),(Datos!M10-Datos!W10)/Datos!W10," - ")</f>
        <v>0</v>
      </c>
      <c r="G10" s="457">
        <f>IF(ISNUMBER((Datos!N10-Datos!X10)/Datos!X10),(Datos!N10-Datos!X10)/Datos!X10," - ")</f>
        <v>0.27586206896551724</v>
      </c>
      <c r="H10" s="455">
        <f>IF(ISNUMBER(((NºAsuntos!G10/NºAsuntos!E10)-Datos!BD10)/Datos!BD10),((NºAsuntos!G10/NºAsuntos!E10)-Datos!BD10)/Datos!BD10," - ")</f>
        <v>-0.40977323538805499</v>
      </c>
      <c r="I10" s="456">
        <f>IF(ISNUMBER(((NºAsuntos!I10/NºAsuntos!G10)-Datos!BE10)/Datos!BE10),((NºAsuntos!I10/NºAsuntos!G10)-Datos!BE10)/Datos!BE10," - ")</f>
        <v>0.11787878787878786</v>
      </c>
      <c r="J10" s="461">
        <f>IF(ISNUMBER((('Resol  Asuntos'!D10/NºAsuntos!G10)-Datos!BF10)/Datos!BF10),(('Resol  Asuntos'!D10/NºAsuntos!G10)-Datos!BF10)/Datos!BF10," - ")</f>
        <v>-0.29545454545454547</v>
      </c>
      <c r="K10" s="462">
        <f>IF(ISNUMBER((((NºAsuntos!C10+NºAsuntos!E10)/NºAsuntos!G10)-Datos!BG10)/Datos!BG10),(((NºAsuntos!C10+NºAsuntos!E10)/NºAsuntos!G10)-Datos!BG10)/Datos!BG10," - ")</f>
        <v>6.4532183145321831E-2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0.11827731092436974</v>
      </c>
      <c r="C13" s="855">
        <f>IF(ISNUMBER(
   IF(J_V="SI",(Datos!J13-Datos!T13)/Datos!T13,(Datos!J13+Datos!Z13-(Datos!T13+Datos!AH13))/(Datos!T13+Datos!AH13))
     ),IF(J_V="SI",(Datos!J13-Datos!T13)/Datos!T13,(Datos!J13+Datos!Z13-(Datos!T13+Datos!AH13))/(Datos!T13+Datos!AH13))," - ")</f>
        <v>0.42421779764323447</v>
      </c>
      <c r="D13" s="855">
        <f>IF(ISNUMBER(
   IF(J_V="SI",(Datos!K13-Datos!U13)/Datos!U13,(Datos!K13+Datos!AA13-(Datos!U13+Datos!AI13))/(Datos!U13+Datos!AI13))
     ),IF(J_V="SI",(Datos!K13-Datos!U13)/Datos!U13,(Datos!K13+Datos!AA13-(Datos!U13+Datos!AI13))/(Datos!U13+Datos!AI13))," - ")</f>
        <v>6.652360515021459E-2</v>
      </c>
      <c r="E13" s="855">
        <f>IF(ISNUMBER(
   IF(J_V="SI",(Datos!L13-Datos!V13)/Datos!V13,(Datos!L13+Datos!AB13-(Datos!V13+Datos!AJ13))/(Datos!V13+Datos!AJ13))
     ),IF(J_V="SI",(Datos!L13-Datos!V13)/Datos!V13,(Datos!L13+Datos!AB13-(Datos!V13+Datos!AJ13))/(Datos!V13+Datos!AJ13))," - ")</f>
        <v>0.32112994350282487</v>
      </c>
      <c r="F13" s="856">
        <f>IF(ISNUMBER((Datos!M13-Datos!W13)/Datos!W13),(Datos!M13-Datos!W13)/Datos!W13," - ")</f>
        <v>0.14788732394366197</v>
      </c>
      <c r="G13" s="857">
        <f>IF(ISNUMBER((Datos!N13-Datos!X13)/Datos!X13),(Datos!N13-Datos!X13)/Datos!X13," - ")</f>
        <v>9.8191214470284241E-2</v>
      </c>
      <c r="H13" s="857">
        <f>IF(ISNUMBER(((NºAsuntos!G13/NºAsuntos!E13)-Datos!BD13)/Datos!BD13),((NºAsuntos!G13/NºAsuntos!E13)-Datos!BD13)/Datos!BD13," - ")</f>
        <v>-0.25115132888026304</v>
      </c>
      <c r="I13" s="857">
        <f>IF(ISNUMBER(((NºAsuntos!I13/NºAsuntos!G13)-Datos!BE13)/Datos!BE13),((NºAsuntos!I13/NºAsuntos!G13)-Datos!BE13)/Datos!BE13," - ")</f>
        <v>0.23872546010526438</v>
      </c>
      <c r="J13" s="857">
        <f>IF(ISNUMBER((('Resol  Asuntos'!D13/NºAsuntos!G13)-Datos!BF13)/Datos!BF13),(('Resol  Asuntos'!D13/NºAsuntos!G13)-Datos!BF13)/Datos!BF13," - ")</f>
        <v>-0.47024957369869125</v>
      </c>
      <c r="K13" s="857">
        <f>IF(ISNUMBER((((NºAsuntos!C13+NºAsuntos!E13)/NºAsuntos!G13)-Datos!BG13)/Datos!BG13),(((NºAsuntos!C13+NºAsuntos!E13)/NºAsuntos!G13)-Datos!BG13)/Datos!BG13," - ")</f>
        <v>0.14629000982769638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9.0203685741998066E-2</v>
      </c>
      <c r="C15" s="456">
        <f>IF(ISNUMBER(
   IF(D_I="SI",(Datos!J15-Datos!T15)/Datos!T15,(Datos!J15+Datos!AD15-(Datos!T15+Datos!AL15))/(Datos!T15+Datos!AL15))
     ),IF(D_I="SI",(Datos!J15-Datos!T15)/Datos!T15,(Datos!J15+Datos!AD15-(Datos!T15+Datos!AL15))/(Datos!T15+Datos!AL15))," - ")</f>
        <v>-4.6472327841149137E-2</v>
      </c>
      <c r="D15" s="456">
        <f>IF(ISNUMBER(
   IF(D_I="SI",(Datos!K15-Datos!U15)/Datos!U15,(Datos!K15+Datos!AE15-(Datos!U15+Datos!AM15))/(Datos!U15+Datos!AM15))
     ),IF(D_I="SI",(Datos!K15-Datos!U15)/Datos!U15,(Datos!K15+Datos!AE15-(Datos!U15+Datos!AM15))/(Datos!U15+Datos!AM15))," - ")</f>
        <v>5.778191985088537E-2</v>
      </c>
      <c r="E15" s="456">
        <f>IF(ISNUMBER(
   IF(D_I="SI",(Datos!L15-Datos!V15)/Datos!V15,(Datos!L15+Datos!AF15-(Datos!V15+Datos!AN15))/(Datos!V15+Datos!AN15))
     ),IF(D_I="SI",(Datos!L15-Datos!V15)/Datos!V15,(Datos!L15+Datos!AF15-(Datos!V15+Datos!AN15))/(Datos!V15+Datos!AN15))," - ")</f>
        <v>-2.2309711286089239E-2</v>
      </c>
      <c r="F15" s="456">
        <f>IF(ISNUMBER((Datos!M15-Datos!W15)/Datos!W15),(Datos!M15-Datos!W15)/Datos!W15," - ")</f>
        <v>6.7099567099567103E-2</v>
      </c>
      <c r="G15" s="457">
        <f>IF(ISNUMBER((Datos!N15-Datos!X15)/Datos!X15),(Datos!N15-Datos!X15)/Datos!X15," - ")</f>
        <v>-4.0983606557377046E-2</v>
      </c>
      <c r="H15" s="455">
        <f>IF(ISNUMBER(((NºAsuntos!G15/NºAsuntos!E15)-Datos!BD15)/Datos!BD15),((NºAsuntos!G15/NºAsuntos!E15)-Datos!BD15)/Datos!BD15," - ")</f>
        <v>0.10933531426098628</v>
      </c>
      <c r="I15" s="456">
        <f>IF(ISNUMBER(((NºAsuntos!I15/NºAsuntos!G15)-Datos!BE15)/Datos!BE15),((NºAsuntos!I15/NºAsuntos!G15)-Datos!BE15)/Datos!BE15," - ")</f>
        <v>-7.5716581682796338E-2</v>
      </c>
      <c r="J15" s="461">
        <f>IF(ISNUMBER((('Resol  Asuntos'!D15/NºAsuntos!G15)-Datos!BF15)/Datos!BF15),(('Resol  Asuntos'!D15/NºAsuntos!G15)-Datos!BF15)/Datos!BF15," - ")</f>
        <v>8.8086656368594352E-3</v>
      </c>
      <c r="K15" s="462">
        <f>IF(ISNUMBER((((NºAsuntos!C15+NºAsuntos!E15)/NºAsuntos!G15)-Datos!BG15)/Datos!BG15),(((NºAsuntos!C15+NºAsuntos!E15)/NºAsuntos!G15)-Datos!BG15)/Datos!BG15," - ")</f>
        <v>-3.840327516976124E-2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-0.11358574610244988</v>
      </c>
      <c r="C17" s="456">
        <f>IF(ISNUMBER(
   IF(D_I="SI",(Datos!J17-Datos!T17)/Datos!T17,(Datos!J17+Datos!AD17-(Datos!T17+Datos!AL17))/(Datos!T17+Datos!AL17))
     ),IF(D_I="SI",(Datos!J17-Datos!T17)/Datos!T17,(Datos!J17+Datos!AD17-(Datos!T17+Datos!AL17))/(Datos!T17+Datos!AL17))," - ")</f>
        <v>-2.6109660574412531E-2</v>
      </c>
      <c r="D17" s="456">
        <f>IF(ISNUMBER(
   IF(D_I="SI",(Datos!K17-Datos!U17)/Datos!U17,(Datos!K17+Datos!AE17-(Datos!U17+Datos!AM17))/(Datos!U17+Datos!AM17))
     ),IF(D_I="SI",(Datos!K17-Datos!U17)/Datos!U17,(Datos!K17+Datos!AE17-(Datos!U17+Datos!AM17))/(Datos!U17+Datos!AM17))," - ")</f>
        <v>-0.17771883289124668</v>
      </c>
      <c r="E17" s="456">
        <f>IF(ISNUMBER(
   IF(D_I="SI",(Datos!L17-Datos!V17)/Datos!V17,(Datos!L17+Datos!AF17-(Datos!V17+Datos!AN17))/(Datos!V17+Datos!AN17))
     ),IF(D_I="SI",(Datos!L17-Datos!V17)/Datos!V17,(Datos!L17+Datos!AF17-(Datos!V17+Datos!AN17))/(Datos!V17+Datos!AN17))," - ")</f>
        <v>1.9780219780219779E-2</v>
      </c>
      <c r="F17" s="456">
        <f>IF(ISNUMBER((Datos!M17-Datos!W17)/Datos!W17),(Datos!M17-Datos!W17)/Datos!W17," - ")</f>
        <v>0.55555555555555558</v>
      </c>
      <c r="G17" s="457">
        <f>IF(ISNUMBER((Datos!N17-Datos!X17)/Datos!X17),(Datos!N17-Datos!X17)/Datos!X17," - ")</f>
        <v>-0.34010152284263961</v>
      </c>
      <c r="H17" s="455">
        <f>IF(ISNUMBER(((NºAsuntos!G17/NºAsuntos!E17)-Datos!BD17)/Datos!BD17),((NºAsuntos!G17/NºAsuntos!E17)-Datos!BD17)/Datos!BD17," - ")</f>
        <v>-0.1556737613869906</v>
      </c>
      <c r="I17" s="456">
        <f>IF(ISNUMBER(((NºAsuntos!I17/NºAsuntos!G17)-Datos!BE17)/Datos!BE17),((NºAsuntos!I17/NºAsuntos!G17)-Datos!BE17)/Datos!BE17," - ")</f>
        <v>0.24018433179723508</v>
      </c>
      <c r="J17" s="461">
        <f>IF(ISNUMBER((('Resol  Asuntos'!D17/NºAsuntos!G17)-Datos!BF17)/Datos!BF17),(('Resol  Asuntos'!D17/NºAsuntos!G17)-Datos!BF17)/Datos!BF17," - ")</f>
        <v>0.89175627240143374</v>
      </c>
      <c r="K17" s="462">
        <f>IF(ISNUMBER((((NºAsuntos!C17+NºAsuntos!E17)/NºAsuntos!G17)-Datos!BG17)/Datos!BG17),(((NºAsuntos!C17+NºAsuntos!E17)/NºAsuntos!G17)-Datos!BG17)/Datos!BG17," - ")</f>
        <v>0.12696572580645171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5.3763440860215055E-2</v>
      </c>
      <c r="C18" s="855">
        <f>IF(ISNUMBER(
   IF(Criterios!B14="SI",(Datos!J18-Datos!T18)/Datos!T18,(Datos!J18+Datos!AD18-(Datos!T18+Datos!AL18))/(Datos!T18+Datos!AL18))
     ),IF(Criterios!B14="SI",(Datos!J18-Datos!T18)/Datos!T18,(Datos!J18+Datos!AD18-(Datos!T18+Datos!AL18))/(Datos!T18+Datos!AL18))," - ")</f>
        <v>-4.363636363636364E-2</v>
      </c>
      <c r="D18" s="855">
        <f>IF(ISNUMBER(
   IF(Criterios!B14="SI",(Datos!K18-Datos!U18)/Datos!U18,(Datos!K18+Datos!AE18-(Datos!U18+Datos!AM18))/(Datos!U18+Datos!AM18))
     ),IF(Criterios!B14="SI",(Datos!K18-Datos!U18)/Datos!U18,(Datos!K18+Datos!AE18-(Datos!U18+Datos!AM18))/(Datos!U18+Datos!AM18))," - ")</f>
        <v>2.2592152199762187E-2</v>
      </c>
      <c r="E18" s="855">
        <f>IF(ISNUMBER(
   IF(Criterios!B14="SI",(Datos!L18-Datos!V18)/Datos!V18,(Datos!L18+Datos!AF18-(Datos!V18+Datos!AN18))/(Datos!V18+Datos!AN18))
     ),IF(Criterios!B14="SI",(Datos!L18-Datos!V18)/Datos!V18,(Datos!L18+Datos!AF18-(Datos!V18+Datos!AN18))/(Datos!V18+Datos!AN18))," - ")</f>
        <v>-1.5322874863188618E-2</v>
      </c>
      <c r="F18" s="856">
        <f>IF(ISNUMBER((Datos!M18-Datos!W18)/Datos!W18),(Datos!M18-Datos!W18)/Datos!W18," - ")</f>
        <v>0.11045364891518737</v>
      </c>
      <c r="G18" s="857">
        <f>IF(ISNUMBER((Datos!N18-Datos!X18)/Datos!X18),(Datos!N18-Datos!X18)/Datos!X18," - ")</f>
        <v>-9.1219096334185845E-2</v>
      </c>
      <c r="H18" s="857">
        <f>IF(ISNUMBER(((NºAsuntos!G18/NºAsuntos!E18)-Datos!BD18)/Datos!BD18),((NºAsuntos!G18/NºAsuntos!E18)-Datos!BD18)/Datos!BD18," - ")</f>
        <v>6.9250349258306462E-2</v>
      </c>
      <c r="I18" s="857">
        <f>IF(ISNUMBER(((NºAsuntos!I18/NºAsuntos!G18)-Datos!BE18)/Datos!BE18),((NºAsuntos!I18/NºAsuntos!G18)-Datos!BE18)/Datos!BE18," - ")</f>
        <v>-3.7077369488304181E-2</v>
      </c>
      <c r="J18" s="857">
        <f>IF(ISNUMBER((('Resol  Asuntos'!D18/NºAsuntos!G18)-Datos!BF18)/Datos!BF18),(('Resol  Asuntos'!D18/NºAsuntos!G18)-Datos!BF18)/Datos!BF18," - ")</f>
        <v>8.5920370625200707E-2</v>
      </c>
      <c r="K18" s="857">
        <f>IF(ISNUMBER((((NºAsuntos!C18+NºAsuntos!E18)/NºAsuntos!G18)-Datos!BG18)/Datos!BG18),(((NºAsuntos!C18+NºAsuntos!E18)/NºAsuntos!G18)-Datos!BG18)/Datos!BG18," - ")</f>
        <v>-1.9304845219097994E-2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9.5997799477375884E-2</v>
      </c>
      <c r="C19" s="802">
        <f>IF(ISNUMBER(
   IF(J_V="SI",(Datos!J19-Datos!T19)/Datos!T19,(Datos!J19+Datos!Z19-(Datos!T19+Datos!AH19))/(Datos!T19+Datos!AH19))
     ),IF(J_V="SI",(Datos!J19-Datos!T19)/Datos!T19,(Datos!J19+Datos!Z19-(Datos!T19+Datos!AH19))/(Datos!T19+Datos!AH19))," - ")</f>
        <v>0.17731721358664365</v>
      </c>
      <c r="D19" s="802">
        <f>IF(ISNUMBER(
   IF(J_V="SI",(Datos!K19-Datos!U19)/Datos!U19,(Datos!K19+Datos!AA19-(Datos!U19+Datos!AI19))/(Datos!U19+Datos!AI19))
     ),IF(J_V="SI",(Datos!K19-Datos!U19)/Datos!U19,(Datos!K19+Datos!AA19-(Datos!U19+Datos!AI19))/(Datos!U19+Datos!AI19))," - ")</f>
        <v>4.5685279187817257E-2</v>
      </c>
      <c r="E19" s="802">
        <f>IF(ISNUMBER(
   IF(J_V="SI",(Datos!L19-Datos!V19)/Datos!V19,(Datos!L19+Datos!AB19-(Datos!V19+Datos!AJ19))/(Datos!V19+Datos!AJ19))
     ),IF(J_V="SI",(Datos!L19-Datos!V19)/Datos!V19,(Datos!L19+Datos!AB19-(Datos!V19+Datos!AJ19))/(Datos!V19+Datos!AJ19))," - ")</f>
        <v>0.19243650572146245</v>
      </c>
      <c r="F19" s="803">
        <f>IF(ISNUMBER((Datos!M19-Datos!W19)/Datos!W19),(Datos!M19-Datos!W19)/Datos!W19," - ")</f>
        <v>0.13023255813953488</v>
      </c>
      <c r="G19" s="804">
        <f>IF(ISNUMBER((Datos!N19-Datos!X19)/Datos!X19),(Datos!N19-Datos!X19)/Datos!X19," - ")</f>
        <v>2.9991431019708655E-3</v>
      </c>
      <c r="H19" s="805">
        <f>IF(ISNUMBER((Tasas!B19-Datos!BD19)/Datos!BD19),(Tasas!B19-Datos!BD19)/Datos!BD19," - ")</f>
        <v>-0.11180668462139924</v>
      </c>
      <c r="I19" s="806">
        <f>IF(ISNUMBER((Tasas!C19-Datos!BE19)/Datos!BE19),(Tasas!C19-Datos!BE19)/Datos!BE19," - ")</f>
        <v>0.14033976518023353</v>
      </c>
      <c r="J19" s="807">
        <f>IF(ISNUMBER((Tasas!D19-Datos!BF19)/Datos!BF19),(Tasas!D19-Datos!BF19)/Datos!BF19," - ")</f>
        <v>-0.30047111635872653</v>
      </c>
      <c r="K19" s="807">
        <f>IF(ISNUMBER((Tasas!E19-Datos!BG19)/Datos!BG19),(Tasas!E19-Datos!BG19)/Datos!BG19," - ")</f>
        <v>8.0580501942214333E-2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oUiU7BYkjfXoR7fZC2gHVHnYRmlc5DETJUTBomunxud5sHpcuPs6ofVPVgOQMi5cJ2NflyohKSd/GMVCiVfWAg==" saltValue="V+vSHKHq5KqalB1WIQcFD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TORRENT</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0.85017626321974149</v>
      </c>
      <c r="C9" s="443">
        <f>IF(ISNUMBER(NºAsuntos!I9/NºAsuntos!G9),NºAsuntos!I9/NºAsuntos!G9," - ")</f>
        <v>1.9789219073946096</v>
      </c>
      <c r="D9" s="444">
        <f>IF(ISNUMBER('Resol  Asuntos'!D9/NºAsuntos!G9),'Resol  Asuntos'!D9/NºAsuntos!G9," - ")</f>
        <v>0.21769177608845888</v>
      </c>
      <c r="E9" s="445">
        <f>IF(ISNUMBER((NºAsuntos!C9+NºAsuntos!E9)/NºAsuntos!G9),(NºAsuntos!C9+NºAsuntos!E9)/NºAsuntos!G9," - ")</f>
        <v>2.9789219073946094</v>
      </c>
      <c r="G9" s="463"/>
    </row>
    <row r="10" spans="1:7">
      <c r="A10" s="402" t="str">
        <f>Datos!A10</f>
        <v>Jdos. Violencia contra la mujer</v>
      </c>
      <c r="B10" s="442">
        <f>IF(ISNUMBER(NºAsuntos!G10/NºAsuntos!E10),NºAsuntos!G10/NºAsuntos!E10," - ")</f>
        <v>0.87128712871287128</v>
      </c>
      <c r="C10" s="443">
        <f>IF(ISNUMBER(NºAsuntos!I10/NºAsuntos!G10),NºAsuntos!I10/NºAsuntos!G10," - ")</f>
        <v>1.3522727272727273</v>
      </c>
      <c r="D10" s="444">
        <f>IF(ISNUMBER('Resol  Asuntos'!D10/NºAsuntos!G10),'Resol  Asuntos'!D10/NºAsuntos!G10," - ")</f>
        <v>0.25</v>
      </c>
      <c r="E10" s="445">
        <f>IF(ISNUMBER((NºAsuntos!C10+NºAsuntos!E10)/NºAsuntos!G10),(NºAsuntos!C10+NºAsuntos!E10)/NºAsuntos!G10," - ")</f>
        <v>2.3522727272727271</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0.85078459343794577</v>
      </c>
      <c r="C13" s="859">
        <f>IF(ISNUMBER(NºAsuntos!I13/NºAsuntos!G13),NºAsuntos!I13/NºAsuntos!G13," - ")</f>
        <v>1.960429242119383</v>
      </c>
      <c r="D13" s="860">
        <f>IF(ISNUMBER('Resol  Asuntos'!D13/NºAsuntos!G13),'Resol  Asuntos'!D13/NºAsuntos!G13," - ")</f>
        <v>0.21864520456069753</v>
      </c>
      <c r="E13" s="861">
        <f>IF(ISNUMBER((NºAsuntos!C13+NºAsuntos!E13)/NºAsuntos!G13),(NºAsuntos!C13+NºAsuntos!E13)/NºAsuntos!G13," - ")</f>
        <v>2.9604292421193832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1.0057598582188747</v>
      </c>
      <c r="C15" s="443">
        <f>IF(ISNUMBER(NºAsuntos!I15/NºAsuntos!G15),NºAsuntos!I15/NºAsuntos!G15," - ")</f>
        <v>0.98458149779735682</v>
      </c>
      <c r="D15" s="444">
        <f>IF(ISNUMBER('Resol  Asuntos'!D15/NºAsuntos!G15),'Resol  Asuntos'!D15/NºAsuntos!G15," - ")</f>
        <v>0.21718061674008809</v>
      </c>
      <c r="E15" s="445">
        <f>IF(ISNUMBER((NºAsuntos!C15+NºAsuntos!E15)/NºAsuntos!G15),(NºAsuntos!C15+NºAsuntos!E15)/NºAsuntos!G15," - ")</f>
        <v>1.9845814977973568</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0.83109919571045576</v>
      </c>
      <c r="C17" s="443">
        <f>IF(ISNUMBER(NºAsuntos!I17/NºAsuntos!G17),NºAsuntos!I17/NºAsuntos!G17," - ")</f>
        <v>1.4967741935483871</v>
      </c>
      <c r="D17" s="444">
        <f>IF(ISNUMBER('Resol  Asuntos'!D17/NºAsuntos!G17),'Resol  Asuntos'!D17/NºAsuntos!G17," - ")</f>
        <v>0.22580645161290322</v>
      </c>
      <c r="E17" s="445">
        <f>IF(ISNUMBER((NºAsuntos!C17+NºAsuntos!E17)/NºAsuntos!G17),(NºAsuntos!C17+NºAsuntos!E17)/NºAsuntos!G17," - ")</f>
        <v>2.4870967741935486</v>
      </c>
      <c r="G17" s="463"/>
    </row>
    <row r="18" spans="1:7" ht="14.25" thickTop="1" thickBot="1">
      <c r="A18" s="848" t="str">
        <f>Datos!A18</f>
        <v>TOTAL</v>
      </c>
      <c r="B18" s="858">
        <f>IF(ISNUMBER(NºAsuntos!G18/NºAsuntos!E18),NºAsuntos!G18/NºAsuntos!E18," - ")</f>
        <v>0.98098859315589348</v>
      </c>
      <c r="C18" s="859">
        <f>IF(ISNUMBER(NºAsuntos!I18/NºAsuntos!G18),NºAsuntos!I18/NºAsuntos!G18," - ")</f>
        <v>1.046124031007752</v>
      </c>
      <c r="D18" s="862">
        <f>IF(ISNUMBER('Resol  Asuntos'!D18/NºAsuntos!G18),'Resol  Asuntos'!D18/NºAsuntos!G18," - ")</f>
        <v>0.21821705426356588</v>
      </c>
      <c r="E18" s="861">
        <f>IF(ISNUMBER((NºAsuntos!C18+NºAsuntos!E18)/NºAsuntos!G18),(NºAsuntos!C18+NºAsuntos!E18)/NºAsuntos!G18," - ")</f>
        <v>2.0449612403100774</v>
      </c>
      <c r="G18" s="463"/>
    </row>
    <row r="19" spans="1:7" ht="15.75" customHeight="1" thickTop="1" thickBot="1">
      <c r="A19" s="793" t="str">
        <f>Datos!A19</f>
        <v>TOTAL JURISDICCIONES</v>
      </c>
      <c r="B19" s="808">
        <f>IF(ISNUMBER(NºAsuntos!G19/NºAsuntos!E19),NºAsuntos!G19/NºAsuntos!E19," - ")</f>
        <v>0.90660146699266508</v>
      </c>
      <c r="C19" s="809">
        <f>IF(ISNUMBER(NºAsuntos!I19/NºAsuntos!G19),NºAsuntos!I19/NºAsuntos!G19," - ")</f>
        <v>1.5363178712693275</v>
      </c>
      <c r="D19" s="810">
        <f>IF(ISNUMBER('Resol  Asuntos'!D19/NºAsuntos!G19),'Resol  Asuntos'!D19/NºAsuntos!G19," - ")</f>
        <v>0.21844660194174756</v>
      </c>
      <c r="E19" s="811">
        <f>IF(ISNUMBER((NºAsuntos!C19+NºAsuntos!E19)/NºAsuntos!G19),(NºAsuntos!C19+NºAsuntos!E19)/NºAsuntos!G19," - ")</f>
        <v>2.5357784969435455</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MGpiWvoYeU0hrkQfbU4vsliibZE4s1TCiFegaJHgbpA9lcL2VJKQi6s+BpERPcVM8uSoAsucBmRYnBR+U3Ubvw==" saltValue="z5VOyHpX6SjeAIUmxNkO0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TORRENT</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6</v>
      </c>
      <c r="B9" s="177" t="s">
        <v>246</v>
      </c>
      <c r="C9" s="160" t="str">
        <f>Datos!A9</f>
        <v xml:space="preserve">Jdos. 1ª Instancia   </v>
      </c>
      <c r="D9" s="160"/>
      <c r="E9" s="1025">
        <f>IF(ISNUMBER(Datos!AQ9),Datos!AQ9," - ")</f>
        <v>6</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726</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638</v>
      </c>
      <c r="Y9" s="334">
        <f>SUM(W9:X9)</f>
        <v>638</v>
      </c>
      <c r="Z9" s="335" t="str">
        <f>IF(ISNUMBER(Datos!CC9),Datos!CC9," - ")</f>
        <v xml:space="preserve"> - </v>
      </c>
      <c r="AA9" s="332" t="str">
        <f>IF(ISNUMBER(IF(J_V="SI",Datos!L9,Datos!L9+Datos!AB9)-IF(Monitorios="SI",Datos!CD9,0)),
                          IF(J_V="SI",Datos!L9,Datos!L9+Datos!AB9)-IF(Monitorios="SI",Datos!CD9,0),
                          " - ")</f>
        <v xml:space="preserve"> - </v>
      </c>
      <c r="AB9" s="334">
        <f>IF(ISNUMBER(Datos!R9),Datos!R9," - ")</f>
        <v>9865</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630</v>
      </c>
      <c r="AJ9" s="229" t="str">
        <f>IF(ISNUMBER(Datos!BW9),Datos!BW9," - ")</f>
        <v xml:space="preserve"> - </v>
      </c>
      <c r="AK9" s="228" t="str">
        <f>IF(ISNUMBER(Datos!BX9),Datos!BX9," - ")</f>
        <v xml:space="preserve"> - </v>
      </c>
      <c r="AL9" s="243">
        <f>IF(ISNUMBER(NºAsuntos!G9/NºAsuntos!E9),NºAsuntos!G9/NºAsuntos!E9," - ")</f>
        <v>0.85017626321974149</v>
      </c>
      <c r="AM9" s="260">
        <f>IF(ISNUMBER(((NºAsuntos!I9/NºAsuntos!G9)*11)/factor_trimestre),((NºAsuntos!I9/NºAsuntos!G9)*11)/factor_trimestre," - ")</f>
        <v>5.9367657221838295</v>
      </c>
      <c r="AN9" s="244">
        <f>IF(ISNUMBER('Resol  Asuntos'!D9/NºAsuntos!G9),'Resol  Asuntos'!D9/NºAsuntos!G9," - ")</f>
        <v>0.21769177608845888</v>
      </c>
      <c r="AO9" s="245">
        <f>IF(ISNUMBER((NºAsuntos!C9+NºAsuntos!E9)/NºAsuntos!G9),(NºAsuntos!C9+NºAsuntos!E9)/NºAsuntos!G9," - ")</f>
        <v>2.9789219073946094</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106</v>
      </c>
      <c r="G10" s="333">
        <f>IF(ISNUMBER(Datos!I10),Datos!I10," - ")</f>
        <v>106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13</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88</v>
      </c>
      <c r="X10" s="226">
        <f>IF(ISNUMBER(Datos!Q10),Datos!Q10," - ")</f>
        <v>3</v>
      </c>
      <c r="Y10" s="334">
        <f t="shared" ref="Y10:Y12" si="0">SUM(W10:X10)</f>
        <v>91</v>
      </c>
      <c r="Z10" s="335" t="str">
        <f>IF(ISNUMBER(Datos!CC10),Datos!CC10," - ")</f>
        <v xml:space="preserve"> - </v>
      </c>
      <c r="AA10" s="332">
        <f>IF(ISNUMBER(Datos!L10),Datos!L10,"-")</f>
        <v>119</v>
      </c>
      <c r="AB10" s="334">
        <f>IF(ISNUMBER(Datos!R10),Datos!R10," - ")</f>
        <v>85</v>
      </c>
      <c r="AC10" s="334">
        <f t="shared" ref="AC10:AC12" si="1">IF(ISNUMBER(AA10+AB10),AA10+AB10," - ")</f>
        <v>204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22</v>
      </c>
      <c r="AJ10" s="231" t="str">
        <f>IF(ISNUMBER(Datos!BW10),Datos!BW10," - ")</f>
        <v xml:space="preserve"> - </v>
      </c>
      <c r="AK10" s="232" t="str">
        <f>IF(ISNUMBER(Datos!BX10),Datos!BX10," - ")</f>
        <v xml:space="preserve"> - </v>
      </c>
      <c r="AL10" s="243">
        <f>IF(ISNUMBER(NºAsuntos!G10/NºAsuntos!E10),NºAsuntos!G10/NºAsuntos!E10," - ")</f>
        <v>0.87128712871287128</v>
      </c>
      <c r="AM10" s="260">
        <f>IF(ISNUMBER(((NºAsuntos!I10/NºAsuntos!G10)*11)/factor_trimestre),((NºAsuntos!I10/NºAsuntos!G10)*11)/factor_trimestre," - ")</f>
        <v>4.0568181818181817</v>
      </c>
      <c r="AN10" s="244">
        <f>IF(ISNUMBER('Resol  Asuntos'!D10/NºAsuntos!G10),'Resol  Asuntos'!D10/NºAsuntos!G10," - ")</f>
        <v>0.25</v>
      </c>
      <c r="AO10" s="245">
        <f>IF(ISNUMBER((NºAsuntos!C10+NºAsuntos!E10)/NºAsuntos!G10),(NºAsuntos!C10+NºAsuntos!E10)/NºAsuntos!G10," - ")</f>
        <v>2.3522727272727271</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7</v>
      </c>
      <c r="F13" s="865">
        <f t="shared" si="3"/>
        <v>106</v>
      </c>
      <c r="G13" s="866">
        <f t="shared" si="3"/>
        <v>106</v>
      </c>
      <c r="H13" s="865">
        <f t="shared" si="3"/>
        <v>0</v>
      </c>
      <c r="I13" s="867">
        <f t="shared" si="3"/>
        <v>0</v>
      </c>
      <c r="J13" s="867">
        <f t="shared" si="3"/>
        <v>0</v>
      </c>
      <c r="K13" s="867">
        <f t="shared" si="3"/>
        <v>0</v>
      </c>
      <c r="L13" s="867">
        <f t="shared" si="3"/>
        <v>739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88</v>
      </c>
      <c r="X13" s="867">
        <f t="shared" si="4"/>
        <v>641</v>
      </c>
      <c r="Y13" s="868">
        <f t="shared" si="4"/>
        <v>729</v>
      </c>
      <c r="Z13" s="868">
        <f t="shared" si="4"/>
        <v>0</v>
      </c>
      <c r="AA13" s="868">
        <f t="shared" si="4"/>
        <v>119</v>
      </c>
      <c r="AB13" s="868">
        <f t="shared" si="4"/>
        <v>9950</v>
      </c>
      <c r="AC13" s="868">
        <f t="shared" si="4"/>
        <v>204</v>
      </c>
      <c r="AD13" s="868">
        <f t="shared" si="4"/>
        <v>0</v>
      </c>
      <c r="AE13" s="872">
        <f t="shared" si="4"/>
        <v>0</v>
      </c>
      <c r="AF13" s="865">
        <f t="shared" si="4"/>
        <v>0</v>
      </c>
      <c r="AG13" s="873">
        <f t="shared" si="4"/>
        <v>0</v>
      </c>
      <c r="AH13" s="870">
        <f t="shared" si="4"/>
        <v>0</v>
      </c>
      <c r="AI13" s="865">
        <f t="shared" si="4"/>
        <v>652</v>
      </c>
      <c r="AJ13" s="867">
        <f t="shared" si="4"/>
        <v>0</v>
      </c>
      <c r="AK13" s="870">
        <f>SUBTOTAL(9,AK9:AK12)</f>
        <v>0</v>
      </c>
      <c r="AL13" s="874">
        <f>IF(ISNUMBER(NºAsuntos!G13/NºAsuntos!E13),NºAsuntos!G13/NºAsuntos!E13," - ")</f>
        <v>0.85078459343794577</v>
      </c>
      <c r="AM13" s="874">
        <f>IF(ISNUMBER(((NºAsuntos!I13/NºAsuntos!G13)*11)/factor_trimestre),((NºAsuntos!I13/NºAsuntos!G13)*11)/factor_trimestre," - ")</f>
        <v>5.8812877263581491</v>
      </c>
      <c r="AN13" s="875">
        <f>IF(ISNUMBER('Resol  Asuntos'!D13/NºAsuntos!G13),'Resol  Asuntos'!D13/NºAsuntos!G13," - ")</f>
        <v>0.21864520456069753</v>
      </c>
      <c r="AO13" s="876">
        <f>IF(ISNUMBER((NºAsuntos!C13+NºAsuntos!E13)/NºAsuntos!G13),(NºAsuntos!C13+NºAsuntos!E13)/NºAsuntos!G13," - ")</f>
        <v>2.9604292421193832</v>
      </c>
      <c r="AP13" s="877" t="str">
        <f t="shared" si="2"/>
        <v xml:space="preserve"> - </v>
      </c>
      <c r="AQ13" s="877">
        <f>IF(ISNUMBER((H13-W13+K13)/(F13)),(H13-W13+K13)/(F13)," - ")</f>
        <v>-0.83018867924528306</v>
      </c>
      <c r="AR13" s="878">
        <f>IF(ISNUMBER((Datos!P13-Datos!Q13)/(Datos!R13-Datos!P13+Datos!Q13)),(Datos!P13-Datos!Q13)/(Datos!R13-Datos!P13+Datos!Q13)," - ")</f>
        <v>9.9472188388144544E-3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3</v>
      </c>
      <c r="B15" s="275" t="s">
        <v>396</v>
      </c>
      <c r="C15" s="160" t="str">
        <f>Datos!A15</f>
        <v xml:space="preserve">Jdos. Instrucción                               </v>
      </c>
      <c r="D15" s="160"/>
      <c r="E15" s="1025">
        <f>IF(ISNUMBER(Datos!AQ15),Datos!AQ15," - ")</f>
        <v>3</v>
      </c>
      <c r="F15" s="225">
        <f>IF(ISNUMBER(AA15+W15-Datos!J15-K15),AA15+W15-Datos!J15-K15," - ")</f>
        <v>2248</v>
      </c>
      <c r="G15" s="333">
        <f>IF(ISNUMBER(IF(D_I="SI",Datos!I15,Datos!I15+Datos!AC15)),IF(D_I="SI",Datos!I15,Datos!I15+Datos!AC15)," - ")</f>
        <v>2248</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232</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2270</v>
      </c>
      <c r="X15" s="226">
        <f>IF(ISNUMBER(Datos!Q15),Datos!Q15," - ")</f>
        <v>235</v>
      </c>
      <c r="Y15" s="334">
        <f>SUM(W15)</f>
        <v>2270</v>
      </c>
      <c r="Z15" s="335" t="str">
        <f>IF(ISNUMBER(Datos!CC15),Datos!CC15," - ")</f>
        <v xml:space="preserve"> - </v>
      </c>
      <c r="AA15" s="332">
        <f>IF(ISNUMBER(IF(D_I="SI",Datos!L15,Datos!L15+Datos!AF15)),IF(D_I="SI",Datos!L15,Datos!L15+Datos!AF15)," - ")</f>
        <v>2235</v>
      </c>
      <c r="AB15" s="334">
        <f>IF(ISNUMBER(Datos!R15),Datos!R15," - ")</f>
        <v>434</v>
      </c>
      <c r="AC15" s="334">
        <f t="shared" ref="AC15:AC17" si="6">IF(ISNUMBER(AA15+AB15),AA15+AB15," - ")</f>
        <v>2669</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493</v>
      </c>
      <c r="AJ15" s="231" t="str">
        <f>IF(ISNUMBER(Datos!BW15),Datos!BW15," - ")</f>
        <v xml:space="preserve"> - </v>
      </c>
      <c r="AK15" s="232" t="str">
        <f>IF(ISNUMBER(Datos!BX15),Datos!BX15," - ")</f>
        <v xml:space="preserve"> - </v>
      </c>
      <c r="AL15" s="243">
        <f>IF(ISNUMBER(NºAsuntos!G15/NºAsuntos!E15),NºAsuntos!G15/NºAsuntos!E15," - ")</f>
        <v>1.0057598582188747</v>
      </c>
      <c r="AM15" s="260">
        <f>IF(ISNUMBER(((NºAsuntos!I15/NºAsuntos!G15)*11)/factor_trimestre),((NºAsuntos!I15/NºAsuntos!G15)*11)/factor_trimestre," - ")</f>
        <v>2.9537444933920707</v>
      </c>
      <c r="AN15" s="244">
        <f>IF(ISNUMBER('Resol  Asuntos'!D15/NºAsuntos!G15),'Resol  Asuntos'!D15/NºAsuntos!G15," - ")</f>
        <v>0.21718061674008809</v>
      </c>
      <c r="AO15" s="245">
        <f>IF(ISNUMBER((NºAsuntos!C15+NºAsuntos!E15)/NºAsuntos!G15),(NºAsuntos!C15+NºAsuntos!E15)/NºAsuntos!G15," - ")</f>
        <v>1.9845814977973568</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398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310</v>
      </c>
      <c r="X17" s="226">
        <f>IF(ISNUMBER(Datos!Q17),Datos!Q17," - ")</f>
        <v>7</v>
      </c>
      <c r="Y17" s="334">
        <f t="shared" si="7"/>
        <v>317</v>
      </c>
      <c r="Z17" s="335" t="str">
        <f>IF(ISNUMBER(Datos!CC17),Datos!CC17," - ")</f>
        <v xml:space="preserve"> - </v>
      </c>
      <c r="AA17" s="332">
        <f>IF(ISNUMBER(Datos!L17),Datos!L17,"-")</f>
        <v>464</v>
      </c>
      <c r="AB17" s="334">
        <f>IF(ISNUMBER(Datos!R17),Datos!R17," - ")</f>
        <v>16</v>
      </c>
      <c r="AC17" s="334">
        <f t="shared" si="6"/>
        <v>480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70</v>
      </c>
      <c r="AJ17" s="231" t="str">
        <f>IF(ISNUMBER(Datos!BW17),Datos!BW17," - ")</f>
        <v xml:space="preserve"> - </v>
      </c>
      <c r="AK17" s="232" t="str">
        <f>IF(ISNUMBER(Datos!BX17),Datos!BX17," - ")</f>
        <v xml:space="preserve"> - </v>
      </c>
      <c r="AL17" s="243">
        <f>IF(ISNUMBER(NºAsuntos!G17/NºAsuntos!E17),NºAsuntos!G17/NºAsuntos!E17," - ")</f>
        <v>0.83109919571045576</v>
      </c>
      <c r="AM17" s="260">
        <f>IF(ISNUMBER(((NºAsuntos!I17/NºAsuntos!G17)*11)/factor_trimestre),((NºAsuntos!I17/NºAsuntos!G17)*11)/factor_trimestre," - ")</f>
        <v>4.4903225806451612</v>
      </c>
      <c r="AN17" s="244">
        <f>IF(ISNUMBER('Resol  Asuntos'!D17/NºAsuntos!G17),'Resol  Asuntos'!D17/NºAsuntos!G17," - ")</f>
        <v>0.22580645161290322</v>
      </c>
      <c r="AO17" s="245">
        <f>IF(ISNUMBER((NºAsuntos!C17+NºAsuntos!E17)/NºAsuntos!G17),(NºAsuntos!C17+NºAsuntos!E17)/NºAsuntos!G17," - ")</f>
        <v>2.4870967741935486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2248</v>
      </c>
      <c r="G18" s="866">
        <f>SUBTOTAL(9,G15:G17)</f>
        <v>2646</v>
      </c>
      <c r="H18" s="865">
        <f t="shared" ref="H18:O18" si="10">SUBTOTAL(9,H14:H17)</f>
        <v>0</v>
      </c>
      <c r="I18" s="867">
        <f t="shared" si="10"/>
        <v>0</v>
      </c>
      <c r="J18" s="867">
        <f t="shared" si="10"/>
        <v>0</v>
      </c>
      <c r="K18" s="867">
        <f t="shared" si="10"/>
        <v>0</v>
      </c>
      <c r="L18" s="867">
        <f t="shared" si="10"/>
        <v>243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2580</v>
      </c>
      <c r="X18" s="867">
        <f t="shared" si="11"/>
        <v>242</v>
      </c>
      <c r="Y18" s="868">
        <f t="shared" si="11"/>
        <v>2587</v>
      </c>
      <c r="Z18" s="868">
        <f t="shared" si="11"/>
        <v>0</v>
      </c>
      <c r="AA18" s="868">
        <f t="shared" si="11"/>
        <v>2699</v>
      </c>
      <c r="AB18" s="868">
        <f t="shared" si="11"/>
        <v>450</v>
      </c>
      <c r="AC18" s="868">
        <f t="shared" si="11"/>
        <v>3149</v>
      </c>
      <c r="AD18" s="868">
        <f t="shared" si="11"/>
        <v>0</v>
      </c>
      <c r="AE18" s="872">
        <f t="shared" si="11"/>
        <v>0</v>
      </c>
      <c r="AF18" s="865">
        <f t="shared" si="11"/>
        <v>0</v>
      </c>
      <c r="AG18" s="873">
        <f t="shared" si="11"/>
        <v>0</v>
      </c>
      <c r="AH18" s="870">
        <f t="shared" si="11"/>
        <v>0</v>
      </c>
      <c r="AI18" s="865">
        <f t="shared" si="11"/>
        <v>563</v>
      </c>
      <c r="AJ18" s="867">
        <f t="shared" si="11"/>
        <v>0</v>
      </c>
      <c r="AK18" s="870">
        <f t="shared" si="11"/>
        <v>0</v>
      </c>
      <c r="AL18" s="874">
        <f>IF(ISNUMBER(NºAsuntos!G18/NºAsuntos!E18),NºAsuntos!G18/NºAsuntos!E18," - ")</f>
        <v>0.98098859315589348</v>
      </c>
      <c r="AM18" s="874">
        <f>IF(ISNUMBER(((NºAsuntos!I18/NºAsuntos!G18)*11)/factor_trimestre),((NºAsuntos!I18/NºAsuntos!G18)*11)/factor_trimestre," - ")</f>
        <v>3.1383720930232557</v>
      </c>
      <c r="AN18" s="875">
        <f>IF(ISNUMBER('Resol  Asuntos'!D18/NºAsuntos!G18),'Resol  Asuntos'!D18/NºAsuntos!G18," - ")</f>
        <v>0.21821705426356588</v>
      </c>
      <c r="AO18" s="876">
        <f>IF(ISNUMBER((NºAsuntos!C18+NºAsuntos!E18)/NºAsuntos!G18),(NºAsuntos!C18+NºAsuntos!E18)/NºAsuntos!G18," - ")</f>
        <v>2.0449612403100774</v>
      </c>
      <c r="AP18" s="877" t="str">
        <f t="shared" si="2"/>
        <v xml:space="preserve"> - </v>
      </c>
      <c r="AQ18" s="877">
        <f>IF(ISNUMBER((H18-W18+K18)/(F18)),(H18-W18+K18)/(F18)," - ")</f>
        <v>-1.1476868327402134</v>
      </c>
      <c r="AR18" s="878">
        <f>IF(ISNUMBER((Datos!P18-Datos!Q18)/(Datos!R18-Datos!P18+Datos!Q18)),(Datos!P18-Datos!Q18)/(Datos!R18-Datos!P18+Datos!Q18)," - ")</f>
        <v>2.2271714922048997E-3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11</v>
      </c>
      <c r="F19" s="820">
        <f t="shared" si="13"/>
        <v>2354</v>
      </c>
      <c r="G19" s="821">
        <f t="shared" si="13"/>
        <v>2752</v>
      </c>
      <c r="H19" s="820">
        <f t="shared" si="13"/>
        <v>0</v>
      </c>
      <c r="I19" s="822">
        <f t="shared" si="13"/>
        <v>0</v>
      </c>
      <c r="J19" s="822">
        <f t="shared" si="13"/>
        <v>0</v>
      </c>
      <c r="K19" s="881">
        <f t="shared" si="13"/>
        <v>0</v>
      </c>
      <c r="L19" s="822">
        <f t="shared" si="13"/>
        <v>982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2668</v>
      </c>
      <c r="X19" s="821">
        <f t="shared" si="14"/>
        <v>883</v>
      </c>
      <c r="Y19" s="828">
        <f t="shared" si="14"/>
        <v>3316</v>
      </c>
      <c r="Z19" s="828">
        <f t="shared" si="14"/>
        <v>0</v>
      </c>
      <c r="AA19" s="828">
        <f t="shared" si="14"/>
        <v>2818</v>
      </c>
      <c r="AB19" s="828">
        <f t="shared" si="14"/>
        <v>10400</v>
      </c>
      <c r="AC19" s="828">
        <f t="shared" si="14"/>
        <v>3353</v>
      </c>
      <c r="AD19" s="828">
        <f t="shared" si="14"/>
        <v>0</v>
      </c>
      <c r="AE19" s="830">
        <f t="shared" si="14"/>
        <v>0</v>
      </c>
      <c r="AF19" s="831">
        <f t="shared" si="14"/>
        <v>0</v>
      </c>
      <c r="AG19" s="832">
        <f t="shared" si="14"/>
        <v>0</v>
      </c>
      <c r="AH19" s="830">
        <f t="shared" si="14"/>
        <v>0</v>
      </c>
      <c r="AI19" s="820">
        <f t="shared" si="14"/>
        <v>1215</v>
      </c>
      <c r="AJ19" s="820">
        <f t="shared" si="14"/>
        <v>0</v>
      </c>
      <c r="AK19" s="830">
        <f t="shared" si="14"/>
        <v>0</v>
      </c>
      <c r="AL19" s="884">
        <f>IF(ISNUMBER(NºAsuntos!G19/NºAsuntos!E19),NºAsuntos!G19/NºAsuntos!E19," - ")</f>
        <v>0.90660146699266508</v>
      </c>
      <c r="AM19" s="885">
        <f>IF(ISNUMBER(((NºAsuntos!I19/NºAsuntos!G19)*11)/factor_trimestre),((NºAsuntos!I19/NºAsuntos!G19)*11)/factor_trimestre," - ")</f>
        <v>4.6089536138079827</v>
      </c>
      <c r="AN19" s="885">
        <f>IF(ISNUMBER('Resol  Asuntos'!D19/NºAsuntos!G19),'Resol  Asuntos'!D19/NºAsuntos!G19," - ")</f>
        <v>0.21844660194174756</v>
      </c>
      <c r="AO19" s="886">
        <f>IF(ISNUMBER((NºAsuntos!C19+NºAsuntos!E19)/NºAsuntos!G19),(NºAsuntos!C19+NºAsuntos!E19)/NºAsuntos!G19," - ")</f>
        <v>2.5357784969435455</v>
      </c>
      <c r="AP19" s="887" t="str">
        <f t="shared" si="2"/>
        <v xml:space="preserve"> - </v>
      </c>
      <c r="AQ19" s="888">
        <f>IF(OR(ISNUMBER(FIND("01",Criterios!A8,1)),ISNUMBER(FIND("02",Criterios!A8,1)),ISNUMBER(FIND("03",Criterios!A8,1)),ISNUMBER(FIND("04",Criterios!A8,1))),(I19-W19+K19)/(F19-K19),(H19-W19+K19)/(F19-K19))</f>
        <v>-1.1333899745114699</v>
      </c>
      <c r="AR19" s="889">
        <f>IF(ISNUMBER((Datos!P19-Datos!Q19)/(Datos!R19-Datos!P19+Datos!Q19)),(Datos!P19-Datos!Q19)/(Datos!R19-Datos!P19+Datos!Q19)," - ")</f>
        <v>9.6107174060770795E-3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1100.8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2.6977356760397742</v>
      </c>
      <c r="F21" s="252">
        <f>IF(ISNUMBER(STDEV(F8:F18)),STDEV(F8:F18),"-")</f>
        <v>1236.6842766041784</v>
      </c>
      <c r="G21" s="253">
        <f>IF(ISNUMBER(STDEV(G8:G18)),STDEV(G8:G18),"-")</f>
        <v>1242.6677753929246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1247.628630642949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283.99154917004131</v>
      </c>
      <c r="AJ21" s="252">
        <f t="shared" si="18"/>
        <v>0</v>
      </c>
      <c r="AK21" s="254">
        <f t="shared" si="18"/>
        <v>0</v>
      </c>
      <c r="AL21" s="249">
        <f t="shared" si="18"/>
        <v>7.5105607267215727E-2</v>
      </c>
      <c r="AM21" s="250">
        <f t="shared" si="18"/>
        <v>1.2934146038180896</v>
      </c>
      <c r="AN21" s="250">
        <f t="shared" si="18"/>
        <v>1.2849804184689933E-2</v>
      </c>
      <c r="AO21" s="251">
        <f t="shared" si="18"/>
        <v>0.43126336994858194</v>
      </c>
      <c r="AP21" s="291" t="str">
        <f t="shared" si="18"/>
        <v>-</v>
      </c>
      <c r="AQ21" s="292">
        <f t="shared" si="18"/>
        <v>0.22450509735047303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99idxcgbnIFVglp/4scccshrPMpQ3iUAOwGLmm87rJIw9fHK/uaUaNV+OT+LOFU4K5sBGZd4ucUPQn70kgTrag==" saltValue="da12sGIcpZYAQtz61X+cq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TORRENT</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0.15384615384615385</v>
      </c>
      <c r="I9" s="350">
        <f>IF(ISNUMBER((Tasas!C9-Datos!BE9)/Datos!BE9),(Tasas!C9-Datos!BE9)/Datos!BE9," - ")</f>
        <v>0.24376379191192241</v>
      </c>
      <c r="J9" s="349">
        <f>IF(ISNUMBER((Tasas!D9-Datos!BF9)/Datos!BF9),(Tasas!D9-Datos!BF9)/Datos!BF9," - ")</f>
        <v>-0.47423205315737937</v>
      </c>
      <c r="K9" s="351">
        <f>IF(ISNUMBER((Tasas!E9-Datos!BG9)/Datos!BG9),(Tasas!E9-Datos!BG9)/Datos!BG9," - ")</f>
        <v>0.149685558274543</v>
      </c>
      <c r="M9" t="e">
        <f>IF(Monitorios="SI",Datos!CE9,0)</f>
        <v>#REF!</v>
      </c>
      <c r="N9" t="e">
        <f>IF(Monitorios="SI",Datos!CF9,0)</f>
        <v>#REF!</v>
      </c>
      <c r="O9" t="e">
        <f>IF(Monitorios="SI",Datos!CG9,0)</f>
        <v>#REF!</v>
      </c>
      <c r="P9" t="e">
        <f>IF(Monitorios="SI",Datos!CH9,0)</f>
        <v>#REF!</v>
      </c>
      <c r="Q9">
        <f>IF(J_V="SI",0,Datos!AG9)</f>
        <v>325</v>
      </c>
      <c r="R9">
        <f>IF(J_V="SI",0,Datos!AH9)</f>
        <v>279</v>
      </c>
      <c r="S9">
        <f>IF(J_V="SI",0,Datos!AI9)</f>
        <v>283</v>
      </c>
      <c r="T9">
        <f>IF(J_V="SI",0,Datos!AJ9)</f>
        <v>321</v>
      </c>
    </row>
    <row r="10" spans="2:20" ht="14.25">
      <c r="B10" s="275" t="s">
        <v>246</v>
      </c>
      <c r="C10" s="7" t="str">
        <f>Datos!A10</f>
        <v>Jdos. Violencia contra la mujer</v>
      </c>
      <c r="D10" s="352">
        <f>IF(ISNUMBER((Datos!I10-Datos!S10)/Datos!S10),(Datos!I10-Datos!S10)/Datos!S10," - ")</f>
        <v>0.11578947368421053</v>
      </c>
      <c r="E10" s="348">
        <f>IF(ISNUMBER((Datos!J10-Datos!T10)/Datos!T10),(Datos!J10-Datos!T10)/Datos!T10," - ")</f>
        <v>1.4047619047619047</v>
      </c>
      <c r="F10" s="348">
        <f>IF(ISNUMBER((Datos!K10-Datos!U10)/Datos!U10),(Datos!K10-Datos!U10)/Datos!U10," - ")</f>
        <v>0.41935483870967744</v>
      </c>
      <c r="G10" s="349">
        <f>IF(ISNUMBER((Datos!L10-Datos!V10)/Datos!V10),(Datos!L10-Datos!V10)/Datos!V10," - ")</f>
        <v>0.58666666666666667</v>
      </c>
      <c r="H10" s="230">
        <f>IF(ISNUMBER((Datos!M10-Datos!W10)/Datos!W10),(Datos!M10-Datos!W10)/Datos!W10," - ")</f>
        <v>0</v>
      </c>
      <c r="I10" s="350">
        <f>IF(ISNUMBER((Tasas!C10-Datos!BE10)/Datos!BE10),(Tasas!C10-Datos!BE10)/Datos!BE10," - ")</f>
        <v>0.11787878787878786</v>
      </c>
      <c r="J10" s="349">
        <f>IF(ISNUMBER((Tasas!D10-Datos!BF10)/Datos!BF10),(Tasas!D10-Datos!BF10)/Datos!BF10," - ")</f>
        <v>-0.29545454545454547</v>
      </c>
      <c r="K10" s="351">
        <f>IF(ISNUMBER((Tasas!E10-Datos!BG10)/Datos!BG10),(Tasas!E10-Datos!BG10)/Datos!BG10," - ")</f>
        <v>6.4532183145321831E-2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0.14788732394366197</v>
      </c>
      <c r="I13" s="357">
        <f>IF(ISNUMBER((Tasas!C13-Datos!BE13)/Datos!BE13),(Tasas!C13-Datos!BE13)/Datos!BE13," - ")</f>
        <v>0.23872546010526438</v>
      </c>
      <c r="J13" s="355">
        <f>IF(ISNUMBER((Tasas!D13-Datos!BF13)/Datos!BF13),(Tasas!D13-Datos!BF13)/Datos!BF13," - ")</f>
        <v>-0.47024957369869125</v>
      </c>
      <c r="K13" s="358">
        <f>IF(ISNUMBER((Tasas!E13-Datos!BG13)/Datos!BG13),(Tasas!E13-Datos!BG13)/Datos!BG13," - ")</f>
        <v>0.14629000982769638</v>
      </c>
      <c r="M13" t="e">
        <f>IF(Monitorios="SI",Datos!CE13,0)</f>
        <v>#REF!</v>
      </c>
      <c r="N13" t="e">
        <f>IF(Monitorios="SI",Datos!CF13,0)</f>
        <v>#REF!</v>
      </c>
      <c r="O13" t="e">
        <f>IF(Monitorios="SI",Datos!CG13,0)</f>
        <v>#REF!</v>
      </c>
      <c r="P13" t="e">
        <f>IF(Monitorios="SI",Datos!CH13,0)</f>
        <v>#REF!</v>
      </c>
      <c r="Q13">
        <f>IF(J_V="SI",0,Datos!AG13)</f>
        <v>325</v>
      </c>
      <c r="R13">
        <f>IF(J_V="SI",0,Datos!AH13)</f>
        <v>279</v>
      </c>
      <c r="S13">
        <f>IF(J_V="SI",0,Datos!AI13)</f>
        <v>283</v>
      </c>
      <c r="T13">
        <f>IF(J_V="SI",0,Datos!AJ13)</f>
        <v>321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9.0203685741998066E-2</v>
      </c>
      <c r="E15" s="348">
        <f>IF(ISNUMBER(
   IF(D_I="SI",(Datos!J15-Datos!T15)/Datos!T15,(Datos!J15+Datos!AD15-(Datos!T15+Datos!AL15))/(Datos!T15+Datos!AL15))
     ),IF(D_I="SI",(Datos!J15-Datos!T15)/Datos!T15,(Datos!J15+Datos!AD15-(Datos!T15+Datos!AL15))/(Datos!T15+Datos!AL15))," - ")</f>
        <v>-4.6472327841149137E-2</v>
      </c>
      <c r="F15" s="348">
        <f>IF(ISNUMBER(
   IF(D_I="SI",(Datos!K15-Datos!U15)/Datos!U15,(Datos!K15+Datos!AE15-(Datos!U15+Datos!AM15))/(Datos!U15+Datos!AM15))
     ),IF(D_I="SI",(Datos!K15-Datos!U15)/Datos!U15,(Datos!K15+Datos!AE15-(Datos!U15+Datos!AM15))/(Datos!U15+Datos!AM15))," - ")</f>
        <v>5.778191985088537E-2</v>
      </c>
      <c r="G15" s="349">
        <f>IF(ISNUMBER(
   IF(D_I="SI",(Datos!L15-Datos!V15)/Datos!V15,(Datos!L15+Datos!AF15-(Datos!V15+Datos!AN15))/(Datos!V15+Datos!AN15))
     ),IF(D_I="SI",(Datos!L15-Datos!V15)/Datos!V15,(Datos!L15+Datos!AF15-(Datos!V15+Datos!AN15))/(Datos!V15+Datos!AN15))," - ")</f>
        <v>-2.2309711286089239E-2</v>
      </c>
      <c r="H15" s="230">
        <f>IF(ISNUMBER((Datos!M15-Datos!W15)/Datos!W15),(Datos!M15-Datos!W15)/Datos!W15," - ")</f>
        <v>6.7099567099567103E-2</v>
      </c>
      <c r="I15" s="350">
        <f>IF(ISNUMBER((Tasas!C15-Datos!BE15)/Datos!BE15),(Tasas!C15-Datos!BE15)/Datos!BE15," - ")</f>
        <v>-7.5716581682796338E-2</v>
      </c>
      <c r="J15" s="349">
        <f>IF(ISNUMBER((Tasas!D15-Datos!BF15)/Datos!BF15),(Tasas!D15-Datos!BF15)/Datos!BF15," - ")</f>
        <v>8.8086656368594352E-3</v>
      </c>
      <c r="K15" s="351">
        <f>IF(ISNUMBER((Tasas!E15-Datos!BG15)/Datos!BG15),(Tasas!E15-Datos!BG15)/Datos!BG15," - ")</f>
        <v>-3.840327516976124E-2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-0.11358574610244988</v>
      </c>
      <c r="E17" s="348">
        <f>IF(ISNUMBER(
   IF(D_I="SI",(Datos!J17-Datos!T17)/Datos!T17,(Datos!J17+Datos!AD17-(Datos!T17+Datos!AL17))/(Datos!T17+Datos!AL17))
     ),IF(D_I="SI",(Datos!J17-Datos!T17)/Datos!T17,(Datos!J17+Datos!AD17-(Datos!T17+Datos!AL17))/(Datos!T17+Datos!AL17))," - ")</f>
        <v>-2.6109660574412531E-2</v>
      </c>
      <c r="F17" s="348">
        <f>IF(ISNUMBER(
   IF(D_I="SI",(Datos!K17-Datos!U17)/Datos!U17,(Datos!K17+Datos!AE17-(Datos!U17+Datos!AM17))/(Datos!U17+Datos!AM17))
     ),IF(D_I="SI",(Datos!K17-Datos!U17)/Datos!U17,(Datos!K17+Datos!AE17-(Datos!U17+Datos!AM17))/(Datos!U17+Datos!AM17))," - ")</f>
        <v>-0.17771883289124668</v>
      </c>
      <c r="G17" s="349">
        <f>IF(ISNUMBER(
   IF(D_I="SI",(Datos!L17-Datos!V17)/Datos!V17,(Datos!L17+Datos!AF17-(Datos!V17+Datos!AN17))/(Datos!V17+Datos!AN17))
     ),IF(D_I="SI",(Datos!L17-Datos!V17)/Datos!V17,(Datos!L17+Datos!AF17-(Datos!V17+Datos!AN17))/(Datos!V17+Datos!AN17))," - ")</f>
        <v>1.9780219780219779E-2</v>
      </c>
      <c r="H17" s="230">
        <f>IF(ISNUMBER((Datos!M17-Datos!W17)/Datos!W17),(Datos!M17-Datos!W17)/Datos!W17," - ")</f>
        <v>0.55555555555555558</v>
      </c>
      <c r="I17" s="350">
        <f>IF(ISNUMBER((Tasas!C17-Datos!BE17)/Datos!BE17),(Tasas!C17-Datos!BE17)/Datos!BE17," - ")</f>
        <v>0.24018433179723508</v>
      </c>
      <c r="J17" s="349">
        <f>IF(ISNUMBER((Tasas!D17-Datos!BF17)/Datos!BF17),(Tasas!D17-Datos!BF17)/Datos!BF17," - ")</f>
        <v>0.89175627240143374</v>
      </c>
      <c r="K17" s="351">
        <f>IF(ISNUMBER((Tasas!E17-Datos!BG17)/Datos!BG17),(Tasas!E17-Datos!BG17)/Datos!BG17," - ")</f>
        <v>0.12696572580645171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5.3763440860215055E-2</v>
      </c>
      <c r="E18" s="354">
        <f>IF(ISNUMBER(
   IF(D_I="SI",(Datos!J18-Datos!T18)/Datos!T18,(Datos!J18+Datos!AD18-(Datos!T18+Datos!AL18))/(Datos!T18+Datos!AL18))
     ),IF(D_I="SI",(Datos!J18-Datos!T18)/Datos!T18,(Datos!J18+Datos!AD18-(Datos!T18+Datos!AL18))/(Datos!T18+Datos!AL18))," - ")</f>
        <v>-4.363636363636364E-2</v>
      </c>
      <c r="F18" s="354">
        <f>IF(ISNUMBER(
   IF(D_I="SI",(Datos!K18-Datos!U18)/Datos!U18,(Datos!K18+Datos!AE18-(Datos!U18+Datos!AM18))/(Datos!U18+Datos!AM18))
     ),IF(D_I="SI",(Datos!K18-Datos!U18)/Datos!U18,(Datos!K18+Datos!AE18-(Datos!U18+Datos!AM18))/(Datos!U18+Datos!AM18))," - ")</f>
        <v>2.2592152199762187E-2</v>
      </c>
      <c r="G18" s="355">
        <f>IF(ISNUMBER(
   IF(D_I="SI",(Datos!L18-Datos!V18)/Datos!V18,(Datos!L18+Datos!AF18-(Datos!V18+Datos!AN18))/(Datos!V18+Datos!AN18))
     ),IF(D_I="SI",(Datos!L18-Datos!V18)/Datos!V18,(Datos!L18+Datos!AF18-(Datos!V18+Datos!AN18))/(Datos!V18+Datos!AN18))," - ")</f>
        <v>-1.5322874863188618E-2</v>
      </c>
      <c r="H18" s="356">
        <f>IF(ISNUMBER((Datos!M18-Datos!W18)/Datos!W18),(Datos!M18-Datos!W18)/Datos!W18," - ")</f>
        <v>0.11045364891518737</v>
      </c>
      <c r="I18" s="357">
        <f>IF(ISNUMBER((Tasas!C18-Datos!BE18)/Datos!BE18),(Tasas!C18-Datos!BE18)/Datos!BE18," - ")</f>
        <v>-3.7077369488304181E-2</v>
      </c>
      <c r="J18" s="355">
        <f>IF(ISNUMBER((Tasas!D18-Datos!BF18)/Datos!BF18),(Tasas!D18-Datos!BF18)/Datos!BF18," - ")</f>
        <v>8.5920370625200707E-2</v>
      </c>
      <c r="K18" s="358">
        <f>IF(ISNUMBER((Tasas!E18-Datos!BG18)/Datos!BG18),(Tasas!E18-Datos!BG18)/Datos!BG18," - ")</f>
        <v>-1.9304845219097994E-2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9.5997799477375884E-2</v>
      </c>
      <c r="E19" s="363">
        <f>IF(ISNUMBER(
   IF(J_V="SI",(Datos!J19-Datos!T19)/Datos!T19,(Datos!J19+Datos!Z19-(Datos!T19+Datos!AH19))/(Datos!T19+Datos!AH19))
     ),IF(J_V="SI",(Datos!J19-Datos!T19)/Datos!T19,(Datos!J19+Datos!Z19-(Datos!T19+Datos!AH19))/(Datos!T19+Datos!AH19))," - ")</f>
        <v>0.17731721358664365</v>
      </c>
      <c r="F19" s="363">
        <f>IF(ISNUMBER(
   IF(J_V="SI",(Datos!K19-Datos!U19)/Datos!U19,(Datos!K19+Datos!AA19-(Datos!U19+Datos!AI19))/(Datos!U19+Datos!AI19))
     ),IF(J_V="SI",(Datos!K19-Datos!U19)/Datos!U19,(Datos!K19+Datos!AA19-(Datos!U19+Datos!AI19))/(Datos!U19+Datos!AI19))," - ")</f>
        <v>4.5685279187817257E-2</v>
      </c>
      <c r="G19" s="364">
        <f>IF(ISNUMBER(
   IF(J_V="SI",(Datos!L19-Datos!V19)/Datos!V19,(Datos!L19+Datos!AB19-(Datos!V19+Datos!AJ19))/(Datos!V19+Datos!AJ19))
     ),IF(J_V="SI",(Datos!L19-Datos!V19)/Datos!V19,(Datos!L19+Datos!AB19-(Datos!V19+Datos!AJ19))/(Datos!V19+Datos!AJ19))," - ")</f>
        <v>0.19243650572146245</v>
      </c>
      <c r="H19" s="365">
        <f>IF(ISNUMBER((Datos!M19-Datos!W19)/Datos!W19),(Datos!M19-Datos!W19)/Datos!W19," - ")</f>
        <v>0.13023255813953488</v>
      </c>
      <c r="I19" s="362">
        <f>IF(ISNUMBER((Tasas!C19-Datos!BE19)/Datos!BE19),(Tasas!C19-Datos!BE19)/Datos!BE19," - ")</f>
        <v>0.14033976518023353</v>
      </c>
      <c r="J19" s="363">
        <f>IF(ISNUMBER((Tasas!D19-Datos!BF19)/Datos!BF19),(Tasas!D19-Datos!BF19)/Datos!BF19," - ")</f>
        <v>-0.30047111635872653</v>
      </c>
      <c r="K19" s="364">
        <f>IF(ISNUMBER((Tasas!E19-Datos!BG19)/Datos!BG19),(Tasas!E19-Datos!BG19)/Datos!BG19," - ")</f>
        <v>8.0580501942214333E-2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0.10327093294673895</v>
      </c>
      <c r="E21" s="278">
        <f t="shared" si="1"/>
        <v>0.72180685577338299</v>
      </c>
      <c r="F21" s="278">
        <f t="shared" si="1"/>
        <v>0.24857527186870734</v>
      </c>
      <c r="G21" s="279">
        <f t="shared" si="1"/>
        <v>0.29688051554360423</v>
      </c>
      <c r="H21" s="285">
        <f t="shared" si="1"/>
        <v>0.19616348040955808</v>
      </c>
      <c r="I21" s="277">
        <f t="shared" si="1"/>
        <v>0.14617129156267294</v>
      </c>
      <c r="J21" s="278">
        <f t="shared" si="1"/>
        <v>0.51484114421844951</v>
      </c>
      <c r="K21" s="279">
        <f t="shared" si="1"/>
        <v>8.3851865195139791E-2</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gvSHXCGEbqaYLeNXotQD3L4iXzUjamXVc97i4notCAz1LVA6+LxgNSlWi5vJyfYmaDw2IGHikOeaotZjPHWv6A==" saltValue="pG1Mm/fC8iqJl4a8sfqUz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2024-05-29T15:04:18Z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